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5/"/>
    </mc:Choice>
  </mc:AlternateContent>
  <xr:revisionPtr revIDLastSave="59" documentId="13_ncr:1_{AA11145F-C472-4142-A929-551669731F2D}" xr6:coauthVersionLast="47" xr6:coauthVersionMax="47" xr10:uidLastSave="{5524E303-9042-4537-A81A-F3F9DC04F3FD}"/>
  <bookViews>
    <workbookView xWindow="-108" yWindow="-108" windowWidth="23256" windowHeight="12456" tabRatio="598" xr2:uid="{00000000-000D-0000-FFFF-FFFF00000000}"/>
  </bookViews>
  <sheets>
    <sheet name="Contents" sheetId="109" r:id="rId1"/>
    <sheet name="tab 10" sheetId="128" r:id="rId2"/>
    <sheet name="tab 11" sheetId="118" r:id="rId3"/>
    <sheet name="tab 12" sheetId="119" r:id="rId4"/>
    <sheet name="tab 13" sheetId="124" r:id="rId5"/>
    <sheet name="tab 14" sheetId="125" r:id="rId6"/>
    <sheet name="tab 15" sheetId="126" r:id="rId7"/>
    <sheet name="tab 16" sheetId="127" r:id="rId8"/>
  </sheets>
  <definedNames>
    <definedName name="_xlnm.Print_Area" localSheetId="1">'tab 10'!$B$6:$I$56</definedName>
    <definedName name="_xlnm.Print_Area" localSheetId="2">'tab 11'!$B$9:$L$57</definedName>
    <definedName name="_xlnm.Print_Area" localSheetId="3">'tab 12'!$B$7:$G$53</definedName>
    <definedName name="_xlnm.Print_Area" localSheetId="4">'tab 13'!$B$6:$Q$55</definedName>
    <definedName name="_xlnm.Print_Area" localSheetId="5">'tab 14'!$B$6:$Q$55</definedName>
    <definedName name="_xlnm.Print_Area" localSheetId="6">'tab 15'!$B$6:$Q$54</definedName>
    <definedName name="_xlnm.Print_Area" localSheetId="7">'tab 16'!$B$6:$Q$54</definedName>
    <definedName name="_xlnm.Print_Titles" localSheetId="1">'tab 10'!$A:$A,'tab 10'!$1:$4</definedName>
    <definedName name="_xlnm.Print_Titles" localSheetId="2">'tab 11'!$A:$A,'tab 11'!$1:$7</definedName>
    <definedName name="_xlnm.Print_Titles" localSheetId="3">'tab 12'!$A:$A,'tab 12'!$1:$5</definedName>
    <definedName name="_xlnm.Print_Titles" localSheetId="4">'tab 13'!$A:$A,'tab 13'!$1:$4</definedName>
    <definedName name="_xlnm.Print_Titles" localSheetId="5">'tab 14'!$A:$A,'tab 14'!$1:$4</definedName>
    <definedName name="_xlnm.Print_Titles" localSheetId="6">'tab 15'!$A:$A,'tab 15'!$1:$4</definedName>
    <definedName name="_xlnm.Print_Titles" localSheetId="7">'tab 16'!$A:$A,'tab 16'!$1:$4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28" l="1"/>
  <c r="D7" i="128"/>
  <c r="D8" i="128"/>
  <c r="D9" i="128"/>
  <c r="D10" i="128"/>
  <c r="D11" i="128"/>
  <c r="D12" i="128"/>
  <c r="D13" i="128"/>
  <c r="D14" i="128"/>
  <c r="D15" i="128"/>
  <c r="D16" i="128"/>
  <c r="D17" i="128"/>
  <c r="D18" i="128"/>
  <c r="D19" i="128"/>
  <c r="D20" i="128"/>
  <c r="D21" i="128"/>
  <c r="D22" i="128"/>
  <c r="D23" i="128"/>
  <c r="D24" i="128"/>
  <c r="D25" i="128"/>
  <c r="D26" i="128"/>
  <c r="D27" i="128"/>
  <c r="D28" i="128"/>
  <c r="D29" i="128"/>
  <c r="D30" i="128"/>
  <c r="D31" i="128"/>
  <c r="D32" i="128"/>
  <c r="D33" i="128"/>
  <c r="D34" i="128"/>
  <c r="D35" i="128"/>
  <c r="D36" i="128"/>
  <c r="D37" i="128"/>
  <c r="D38" i="128"/>
  <c r="D39" i="128"/>
  <c r="D40" i="128"/>
  <c r="D41" i="128"/>
  <c r="D42" i="128"/>
  <c r="B6" i="127"/>
  <c r="C6" i="127"/>
  <c r="D6" i="127"/>
  <c r="E6" i="127"/>
  <c r="F6" i="127"/>
  <c r="I6" i="127"/>
  <c r="J6" i="127"/>
  <c r="K6" i="127"/>
  <c r="N6" i="127"/>
  <c r="O6" i="127"/>
  <c r="B7" i="127"/>
  <c r="C7" i="127"/>
  <c r="D7" i="127"/>
  <c r="E7" i="127"/>
  <c r="F7" i="127"/>
  <c r="I7" i="127"/>
  <c r="J7" i="127"/>
  <c r="K7" i="127"/>
  <c r="N7" i="127"/>
  <c r="O7" i="127"/>
  <c r="B8" i="127"/>
  <c r="C8" i="127"/>
  <c r="D8" i="127"/>
  <c r="E8" i="127"/>
  <c r="I8" i="127"/>
  <c r="J8" i="127"/>
  <c r="K8" i="127"/>
  <c r="N8" i="127"/>
  <c r="O8" i="127"/>
  <c r="B9" i="127"/>
  <c r="C9" i="127"/>
  <c r="D9" i="127"/>
  <c r="E9" i="127"/>
  <c r="I9" i="127"/>
  <c r="J9" i="127"/>
  <c r="K9" i="127"/>
  <c r="N9" i="127"/>
  <c r="O9" i="127"/>
  <c r="B10" i="127"/>
  <c r="C10" i="127"/>
  <c r="D10" i="127"/>
  <c r="E10" i="127"/>
  <c r="I10" i="127"/>
  <c r="J10" i="127"/>
  <c r="K10" i="127"/>
  <c r="N10" i="127"/>
  <c r="O10" i="127"/>
  <c r="B11" i="127"/>
  <c r="C11" i="127"/>
  <c r="D11" i="127"/>
  <c r="E11" i="127"/>
  <c r="I11" i="127"/>
  <c r="J11" i="127"/>
  <c r="K11" i="127"/>
  <c r="N11" i="127"/>
  <c r="O11" i="127"/>
  <c r="B12" i="127"/>
  <c r="C12" i="127"/>
  <c r="D12" i="127"/>
  <c r="E12" i="127"/>
  <c r="I12" i="127"/>
  <c r="J12" i="127"/>
  <c r="K12" i="127"/>
  <c r="N12" i="127"/>
  <c r="O12" i="127"/>
  <c r="B13" i="127"/>
  <c r="C13" i="127"/>
  <c r="D13" i="127"/>
  <c r="E13" i="127"/>
  <c r="I13" i="127"/>
  <c r="J13" i="127"/>
  <c r="K13" i="127"/>
  <c r="N13" i="127"/>
  <c r="O13" i="127"/>
  <c r="B14" i="127"/>
  <c r="C14" i="127"/>
  <c r="D14" i="127"/>
  <c r="E14" i="127"/>
  <c r="I14" i="127"/>
  <c r="J14" i="127"/>
  <c r="K14" i="127"/>
  <c r="N14" i="127"/>
  <c r="O14" i="127"/>
  <c r="B15" i="127"/>
  <c r="C15" i="127"/>
  <c r="D15" i="127"/>
  <c r="E15" i="127"/>
  <c r="I15" i="127"/>
  <c r="J15" i="127"/>
  <c r="K15" i="127"/>
  <c r="N15" i="127"/>
  <c r="O15" i="127"/>
  <c r="B16" i="127"/>
  <c r="C16" i="127"/>
  <c r="D16" i="127"/>
  <c r="E16" i="127"/>
  <c r="I16" i="127"/>
  <c r="J16" i="127"/>
  <c r="K16" i="127"/>
  <c r="N16" i="127"/>
  <c r="O16" i="127"/>
  <c r="B17" i="127"/>
  <c r="C17" i="127"/>
  <c r="D17" i="127"/>
  <c r="E17" i="127"/>
  <c r="I17" i="127"/>
  <c r="J17" i="127"/>
  <c r="K17" i="127"/>
  <c r="N17" i="127"/>
  <c r="O17" i="127"/>
  <c r="B18" i="127"/>
  <c r="C18" i="127"/>
  <c r="D18" i="127"/>
  <c r="E18" i="127"/>
  <c r="I18" i="127"/>
  <c r="J18" i="127"/>
  <c r="K18" i="127"/>
  <c r="N18" i="127"/>
  <c r="O18" i="127"/>
  <c r="B19" i="127"/>
  <c r="C19" i="127"/>
  <c r="D19" i="127"/>
  <c r="E19" i="127"/>
  <c r="I19" i="127"/>
  <c r="J19" i="127"/>
  <c r="K19" i="127"/>
  <c r="N19" i="127"/>
  <c r="O19" i="127"/>
  <c r="B20" i="127"/>
  <c r="C20" i="127"/>
  <c r="D20" i="127"/>
  <c r="E20" i="127"/>
  <c r="I20" i="127"/>
  <c r="J20" i="127"/>
  <c r="K20" i="127"/>
  <c r="N20" i="127"/>
  <c r="O20" i="127"/>
  <c r="B21" i="127"/>
  <c r="C21" i="127"/>
  <c r="D21" i="127"/>
  <c r="E21" i="127"/>
  <c r="I21" i="127"/>
  <c r="J21" i="127"/>
  <c r="K21" i="127"/>
  <c r="N21" i="127"/>
  <c r="O21" i="127"/>
  <c r="B22" i="127"/>
  <c r="C22" i="127"/>
  <c r="D22" i="127"/>
  <c r="E22" i="127"/>
  <c r="I22" i="127"/>
  <c r="J22" i="127"/>
  <c r="K22" i="127"/>
  <c r="N22" i="127"/>
  <c r="O22" i="127"/>
  <c r="B23" i="127"/>
  <c r="C23" i="127"/>
  <c r="D23" i="127"/>
  <c r="E23" i="127"/>
  <c r="I23" i="127"/>
  <c r="J23" i="127"/>
  <c r="K23" i="127"/>
  <c r="N23" i="127"/>
  <c r="O23" i="127"/>
  <c r="B24" i="127"/>
  <c r="C24" i="127"/>
  <c r="D24" i="127"/>
  <c r="E24" i="127"/>
  <c r="I24" i="127"/>
  <c r="J24" i="127"/>
  <c r="K24" i="127"/>
  <c r="N24" i="127"/>
  <c r="O24" i="127"/>
  <c r="B25" i="127"/>
  <c r="C25" i="127"/>
  <c r="D25" i="127"/>
  <c r="E25" i="127"/>
  <c r="I25" i="127"/>
  <c r="J25" i="127"/>
  <c r="K25" i="127"/>
  <c r="N25" i="127"/>
  <c r="O25" i="127"/>
  <c r="B26" i="127"/>
  <c r="C26" i="127"/>
  <c r="D26" i="127"/>
  <c r="E26" i="127"/>
  <c r="I26" i="127"/>
  <c r="J26" i="127"/>
  <c r="K26" i="127"/>
  <c r="N26" i="127"/>
  <c r="O26" i="127"/>
  <c r="B27" i="127"/>
  <c r="C27" i="127"/>
  <c r="D27" i="127"/>
  <c r="E27" i="127"/>
  <c r="I27" i="127"/>
  <c r="J27" i="127"/>
  <c r="K27" i="127"/>
  <c r="N27" i="127"/>
  <c r="O27" i="127"/>
  <c r="B28" i="127"/>
  <c r="C28" i="127"/>
  <c r="D28" i="127"/>
  <c r="E28" i="127"/>
  <c r="I28" i="127"/>
  <c r="J28" i="127"/>
  <c r="K28" i="127"/>
  <c r="N28" i="127"/>
  <c r="O28" i="127"/>
  <c r="B29" i="127"/>
  <c r="C29" i="127"/>
  <c r="D29" i="127"/>
  <c r="E29" i="127"/>
  <c r="I29" i="127"/>
  <c r="J29" i="127"/>
  <c r="K29" i="127"/>
  <c r="N29" i="127"/>
  <c r="O29" i="127"/>
  <c r="B30" i="127"/>
  <c r="C30" i="127"/>
  <c r="D30" i="127"/>
  <c r="E30" i="127"/>
  <c r="I30" i="127"/>
  <c r="J30" i="127"/>
  <c r="K30" i="127"/>
  <c r="N30" i="127"/>
  <c r="O30" i="127"/>
  <c r="B31" i="127"/>
  <c r="C31" i="127"/>
  <c r="D31" i="127"/>
  <c r="E31" i="127"/>
  <c r="F31" i="127"/>
  <c r="I31" i="127"/>
  <c r="J31" i="127"/>
  <c r="K31" i="127"/>
  <c r="N31" i="127"/>
  <c r="O31" i="127"/>
  <c r="B32" i="127"/>
  <c r="C32" i="127"/>
  <c r="D32" i="127"/>
  <c r="E32" i="127"/>
  <c r="F32" i="127"/>
  <c r="I32" i="127"/>
  <c r="J32" i="127"/>
  <c r="K32" i="127"/>
  <c r="N32" i="127"/>
  <c r="O32" i="127"/>
  <c r="B33" i="127"/>
  <c r="C33" i="127"/>
  <c r="D33" i="127"/>
  <c r="E33" i="127"/>
  <c r="F33" i="127"/>
  <c r="I33" i="127"/>
  <c r="J33" i="127"/>
  <c r="K33" i="127"/>
  <c r="N33" i="127"/>
  <c r="O33" i="127"/>
  <c r="B34" i="127"/>
  <c r="C34" i="127"/>
  <c r="D34" i="127"/>
  <c r="E34" i="127"/>
  <c r="F34" i="127"/>
  <c r="I34" i="127"/>
  <c r="J34" i="127"/>
  <c r="K34" i="127"/>
  <c r="N34" i="127"/>
  <c r="O34" i="127"/>
  <c r="B35" i="127"/>
  <c r="C35" i="127"/>
  <c r="D35" i="127"/>
  <c r="E35" i="127"/>
  <c r="F35" i="127"/>
  <c r="I35" i="127"/>
  <c r="J35" i="127"/>
  <c r="K35" i="127"/>
  <c r="N35" i="127"/>
  <c r="O35" i="127"/>
  <c r="B36" i="127"/>
  <c r="C36" i="127"/>
  <c r="D36" i="127"/>
  <c r="E36" i="127"/>
  <c r="F36" i="127"/>
  <c r="I36" i="127"/>
  <c r="J36" i="127"/>
  <c r="K36" i="127"/>
  <c r="N36" i="127"/>
  <c r="O36" i="127"/>
  <c r="B37" i="127"/>
  <c r="C37" i="127"/>
  <c r="D37" i="127"/>
  <c r="E37" i="127"/>
  <c r="F37" i="127"/>
  <c r="I37" i="127"/>
  <c r="J37" i="127"/>
  <c r="K37" i="127"/>
  <c r="N37" i="127"/>
  <c r="O37" i="127"/>
  <c r="B38" i="127"/>
  <c r="C38" i="127"/>
  <c r="D38" i="127"/>
  <c r="E38" i="127"/>
  <c r="F38" i="127"/>
  <c r="I38" i="127"/>
  <c r="J38" i="127"/>
  <c r="K38" i="127"/>
  <c r="N38" i="127"/>
  <c r="O38" i="127"/>
  <c r="B39" i="127"/>
  <c r="C39" i="127"/>
  <c r="D39" i="127"/>
  <c r="E39" i="127"/>
  <c r="F39" i="127"/>
  <c r="I39" i="127"/>
  <c r="J39" i="127"/>
  <c r="K39" i="127"/>
  <c r="N39" i="127"/>
  <c r="O39" i="127"/>
  <c r="B40" i="127"/>
  <c r="C40" i="127"/>
  <c r="D40" i="127"/>
  <c r="E40" i="127"/>
  <c r="F40" i="127"/>
  <c r="I40" i="127"/>
  <c r="J40" i="127"/>
  <c r="K40" i="127"/>
  <c r="N40" i="127"/>
  <c r="O40" i="127"/>
  <c r="B41" i="127"/>
  <c r="C41" i="127"/>
  <c r="D41" i="127"/>
  <c r="E41" i="127"/>
  <c r="F41" i="127"/>
  <c r="I41" i="127"/>
  <c r="J41" i="127"/>
  <c r="K41" i="127"/>
  <c r="N41" i="127"/>
  <c r="O41" i="127"/>
  <c r="B42" i="127"/>
  <c r="C42" i="127"/>
  <c r="D42" i="127"/>
  <c r="E42" i="127"/>
  <c r="F42" i="127"/>
  <c r="I42" i="127"/>
  <c r="J42" i="127"/>
  <c r="K42" i="127"/>
  <c r="L42" i="127"/>
  <c r="N42" i="127"/>
  <c r="O42" i="127"/>
  <c r="G50" i="127"/>
  <c r="H6" i="126"/>
  <c r="H6" i="127" s="1"/>
  <c r="M6" i="126"/>
  <c r="M6" i="127" s="1"/>
  <c r="P6" i="126"/>
  <c r="P6" i="127" s="1"/>
  <c r="H7" i="126"/>
  <c r="Q7" i="126" s="1"/>
  <c r="Q7" i="127" s="1"/>
  <c r="M7" i="126"/>
  <c r="M7" i="127" s="1"/>
  <c r="P7" i="126"/>
  <c r="P7" i="127" s="1"/>
  <c r="H8" i="126"/>
  <c r="Q8" i="126" s="1"/>
  <c r="M8" i="126"/>
  <c r="M8" i="127" s="1"/>
  <c r="P8" i="126"/>
  <c r="P8" i="127" s="1"/>
  <c r="H9" i="126"/>
  <c r="H9" i="127" s="1"/>
  <c r="M9" i="126"/>
  <c r="M9" i="127" s="1"/>
  <c r="P9" i="126"/>
  <c r="P9" i="127" s="1"/>
  <c r="H10" i="126"/>
  <c r="H10" i="127" s="1"/>
  <c r="M10" i="126"/>
  <c r="M10" i="127" s="1"/>
  <c r="P10" i="126"/>
  <c r="P10" i="127" s="1"/>
  <c r="H11" i="126"/>
  <c r="H11" i="127" s="1"/>
  <c r="M11" i="126"/>
  <c r="M11" i="127" s="1"/>
  <c r="P11" i="126"/>
  <c r="P11" i="127" s="1"/>
  <c r="H12" i="126"/>
  <c r="H12" i="127" s="1"/>
  <c r="M12" i="126"/>
  <c r="M12" i="127" s="1"/>
  <c r="P12" i="126"/>
  <c r="P12" i="127" s="1"/>
  <c r="H13" i="126"/>
  <c r="H13" i="127" s="1"/>
  <c r="M13" i="126"/>
  <c r="M13" i="127" s="1"/>
  <c r="P13" i="126"/>
  <c r="P13" i="127" s="1"/>
  <c r="H14" i="126"/>
  <c r="H14" i="127" s="1"/>
  <c r="M14" i="126"/>
  <c r="M14" i="127" s="1"/>
  <c r="P14" i="126"/>
  <c r="P14" i="127" s="1"/>
  <c r="H15" i="126"/>
  <c r="H15" i="127" s="1"/>
  <c r="M15" i="126"/>
  <c r="M15" i="127" s="1"/>
  <c r="P15" i="126"/>
  <c r="P15" i="127" s="1"/>
  <c r="H16" i="126"/>
  <c r="Q16" i="126" s="1"/>
  <c r="M16" i="126"/>
  <c r="M16" i="127" s="1"/>
  <c r="P16" i="126"/>
  <c r="P16" i="127" s="1"/>
  <c r="H17" i="126"/>
  <c r="H17" i="127" s="1"/>
  <c r="M17" i="126"/>
  <c r="M17" i="127" s="1"/>
  <c r="P17" i="126"/>
  <c r="P17" i="127" s="1"/>
  <c r="H18" i="126"/>
  <c r="H18" i="127" s="1"/>
  <c r="M18" i="126"/>
  <c r="M18" i="127" s="1"/>
  <c r="P18" i="126"/>
  <c r="P18" i="127" s="1"/>
  <c r="H19" i="126"/>
  <c r="Q19" i="126" s="1"/>
  <c r="Q19" i="127" s="1"/>
  <c r="M19" i="126"/>
  <c r="M19" i="127" s="1"/>
  <c r="P19" i="126"/>
  <c r="P19" i="127" s="1"/>
  <c r="H20" i="126"/>
  <c r="Q20" i="126" s="1"/>
  <c r="M20" i="126"/>
  <c r="M20" i="127" s="1"/>
  <c r="P20" i="126"/>
  <c r="P20" i="127" s="1"/>
  <c r="H21" i="126"/>
  <c r="H21" i="127" s="1"/>
  <c r="M21" i="126"/>
  <c r="M21" i="127" s="1"/>
  <c r="P21" i="126"/>
  <c r="P21" i="127" s="1"/>
  <c r="H22" i="126"/>
  <c r="H22" i="127" s="1"/>
  <c r="M22" i="126"/>
  <c r="M22" i="127" s="1"/>
  <c r="P22" i="126"/>
  <c r="P22" i="127" s="1"/>
  <c r="H23" i="126"/>
  <c r="H23" i="127" s="1"/>
  <c r="M23" i="126"/>
  <c r="M23" i="127" s="1"/>
  <c r="P23" i="126"/>
  <c r="P23" i="127" s="1"/>
  <c r="H24" i="126"/>
  <c r="H24" i="127" s="1"/>
  <c r="M24" i="126"/>
  <c r="M24" i="127" s="1"/>
  <c r="P24" i="126"/>
  <c r="P24" i="127" s="1"/>
  <c r="H25" i="126"/>
  <c r="H25" i="127" s="1"/>
  <c r="M25" i="126"/>
  <c r="M25" i="127" s="1"/>
  <c r="P25" i="126"/>
  <c r="P25" i="127" s="1"/>
  <c r="H26" i="126"/>
  <c r="H26" i="127" s="1"/>
  <c r="M26" i="126"/>
  <c r="M26" i="127" s="1"/>
  <c r="P26" i="126"/>
  <c r="P26" i="127" s="1"/>
  <c r="H27" i="126"/>
  <c r="H27" i="127" s="1"/>
  <c r="M27" i="126"/>
  <c r="M27" i="127" s="1"/>
  <c r="P27" i="126"/>
  <c r="P27" i="127" s="1"/>
  <c r="H28" i="126"/>
  <c r="Q28" i="126" s="1"/>
  <c r="M28" i="126"/>
  <c r="M28" i="127" s="1"/>
  <c r="P28" i="126"/>
  <c r="P28" i="127" s="1"/>
  <c r="H29" i="126"/>
  <c r="H29" i="127" s="1"/>
  <c r="M29" i="126"/>
  <c r="M29" i="127" s="1"/>
  <c r="P29" i="126"/>
  <c r="P29" i="127" s="1"/>
  <c r="H30" i="126"/>
  <c r="H30" i="127" s="1"/>
  <c r="M30" i="126"/>
  <c r="M30" i="127" s="1"/>
  <c r="P30" i="126"/>
  <c r="P30" i="127" s="1"/>
  <c r="H31" i="126"/>
  <c r="Q31" i="126" s="1"/>
  <c r="M31" i="126"/>
  <c r="M31" i="127" s="1"/>
  <c r="P31" i="126"/>
  <c r="P31" i="127" s="1"/>
  <c r="H32" i="126"/>
  <c r="H32" i="127" s="1"/>
  <c r="M32" i="126"/>
  <c r="M32" i="127" s="1"/>
  <c r="P32" i="126"/>
  <c r="P32" i="127" s="1"/>
  <c r="H33" i="126"/>
  <c r="H33" i="127" s="1"/>
  <c r="M33" i="126"/>
  <c r="M33" i="127" s="1"/>
  <c r="P33" i="126"/>
  <c r="P33" i="127" s="1"/>
  <c r="H34" i="126"/>
  <c r="Q34" i="126" s="1"/>
  <c r="Q34" i="127" s="1"/>
  <c r="M34" i="126"/>
  <c r="M34" i="127" s="1"/>
  <c r="P34" i="126"/>
  <c r="P34" i="127" s="1"/>
  <c r="H35" i="126"/>
  <c r="H35" i="127" s="1"/>
  <c r="M35" i="126"/>
  <c r="M35" i="127" s="1"/>
  <c r="P35" i="126"/>
  <c r="P35" i="127" s="1"/>
  <c r="H36" i="126"/>
  <c r="H36" i="127" s="1"/>
  <c r="M36" i="126"/>
  <c r="M36" i="127" s="1"/>
  <c r="P36" i="126"/>
  <c r="P36" i="127" s="1"/>
  <c r="H37" i="126"/>
  <c r="Q37" i="126" s="1"/>
  <c r="Q37" i="127" s="1"/>
  <c r="M37" i="126"/>
  <c r="M37" i="127" s="1"/>
  <c r="P37" i="126"/>
  <c r="P37" i="127" s="1"/>
  <c r="H38" i="126"/>
  <c r="H38" i="127" s="1"/>
  <c r="M38" i="126"/>
  <c r="M38" i="127" s="1"/>
  <c r="P38" i="126"/>
  <c r="P38" i="127" s="1"/>
  <c r="H39" i="126"/>
  <c r="H39" i="127" s="1"/>
  <c r="M39" i="126"/>
  <c r="M39" i="127" s="1"/>
  <c r="P39" i="126"/>
  <c r="P39" i="127" s="1"/>
  <c r="H40" i="126"/>
  <c r="Q40" i="126" s="1"/>
  <c r="M40" i="126"/>
  <c r="M40" i="127" s="1"/>
  <c r="P40" i="126"/>
  <c r="P40" i="127" s="1"/>
  <c r="H41" i="126"/>
  <c r="H41" i="127" s="1"/>
  <c r="M41" i="126"/>
  <c r="M41" i="127" s="1"/>
  <c r="P41" i="126"/>
  <c r="P41" i="127" s="1"/>
  <c r="H42" i="126"/>
  <c r="H42" i="127" s="1"/>
  <c r="M42" i="126"/>
  <c r="M42" i="127" s="1"/>
  <c r="P42" i="126"/>
  <c r="P42" i="127" s="1"/>
  <c r="H43" i="126"/>
  <c r="M43" i="126"/>
  <c r="Q43" i="126"/>
  <c r="H44" i="126"/>
  <c r="Q44" i="126" s="1"/>
  <c r="M44" i="126"/>
  <c r="H45" i="126"/>
  <c r="Q45" i="126" s="1"/>
  <c r="M45" i="126"/>
  <c r="H46" i="126"/>
  <c r="Q46" i="126" s="1"/>
  <c r="M46" i="126"/>
  <c r="H47" i="126"/>
  <c r="M47" i="126"/>
  <c r="Q47" i="126"/>
  <c r="H48" i="126"/>
  <c r="Q48" i="126" s="1"/>
  <c r="M48" i="126"/>
  <c r="H49" i="126"/>
  <c r="Q49" i="126" s="1"/>
  <c r="M49" i="126"/>
  <c r="H50" i="126"/>
  <c r="Q50" i="126" s="1"/>
  <c r="M50" i="126"/>
  <c r="H6" i="125"/>
  <c r="M6" i="125"/>
  <c r="P6" i="125"/>
  <c r="Q6" i="125"/>
  <c r="H7" i="125"/>
  <c r="Q7" i="125" s="1"/>
  <c r="M7" i="125"/>
  <c r="P7" i="125"/>
  <c r="H8" i="125"/>
  <c r="Q8" i="125" s="1"/>
  <c r="M8" i="125"/>
  <c r="P8" i="125"/>
  <c r="H9" i="125"/>
  <c r="M9" i="125"/>
  <c r="P9" i="125"/>
  <c r="Q9" i="125"/>
  <c r="H10" i="125"/>
  <c r="Q10" i="125" s="1"/>
  <c r="M10" i="125"/>
  <c r="P10" i="125"/>
  <c r="H11" i="125"/>
  <c r="Q11" i="125" s="1"/>
  <c r="M11" i="125"/>
  <c r="P11" i="125"/>
  <c r="H12" i="125"/>
  <c r="M12" i="125"/>
  <c r="P12" i="125"/>
  <c r="Q12" i="125"/>
  <c r="H13" i="125"/>
  <c r="Q13" i="125" s="1"/>
  <c r="M13" i="125"/>
  <c r="P13" i="125"/>
  <c r="H14" i="125"/>
  <c r="Q14" i="125" s="1"/>
  <c r="M14" i="125"/>
  <c r="P14" i="125"/>
  <c r="H15" i="125"/>
  <c r="M15" i="125"/>
  <c r="P15" i="125"/>
  <c r="Q15" i="125"/>
  <c r="H16" i="125"/>
  <c r="Q16" i="125" s="1"/>
  <c r="M16" i="125"/>
  <c r="P16" i="125"/>
  <c r="H17" i="125"/>
  <c r="Q17" i="125" s="1"/>
  <c r="M17" i="125"/>
  <c r="P17" i="125"/>
  <c r="H18" i="125"/>
  <c r="M18" i="125"/>
  <c r="P18" i="125"/>
  <c r="Q18" i="125"/>
  <c r="H19" i="125"/>
  <c r="Q19" i="125" s="1"/>
  <c r="M19" i="125"/>
  <c r="P19" i="125"/>
  <c r="H20" i="125"/>
  <c r="Q20" i="125" s="1"/>
  <c r="M20" i="125"/>
  <c r="P20" i="125"/>
  <c r="H21" i="125"/>
  <c r="M21" i="125"/>
  <c r="P21" i="125"/>
  <c r="Q21" i="125"/>
  <c r="H22" i="125"/>
  <c r="Q22" i="125" s="1"/>
  <c r="M22" i="125"/>
  <c r="P22" i="125"/>
  <c r="H23" i="125"/>
  <c r="Q23" i="125" s="1"/>
  <c r="M23" i="125"/>
  <c r="P23" i="125"/>
  <c r="H24" i="125"/>
  <c r="M24" i="125"/>
  <c r="P24" i="125"/>
  <c r="Q24" i="125"/>
  <c r="H25" i="125"/>
  <c r="Q25" i="125" s="1"/>
  <c r="M25" i="125"/>
  <c r="P25" i="125"/>
  <c r="H26" i="125"/>
  <c r="Q26" i="125" s="1"/>
  <c r="M26" i="125"/>
  <c r="P26" i="125"/>
  <c r="H27" i="125"/>
  <c r="M27" i="125"/>
  <c r="P27" i="125"/>
  <c r="Q27" i="125"/>
  <c r="H28" i="125"/>
  <c r="Q28" i="125" s="1"/>
  <c r="M28" i="125"/>
  <c r="P28" i="125"/>
  <c r="H29" i="125"/>
  <c r="Q29" i="125" s="1"/>
  <c r="M29" i="125"/>
  <c r="P29" i="125"/>
  <c r="H30" i="125"/>
  <c r="M30" i="125"/>
  <c r="P30" i="125"/>
  <c r="Q30" i="125"/>
  <c r="H31" i="125"/>
  <c r="Q31" i="125" s="1"/>
  <c r="M31" i="125"/>
  <c r="P31" i="125"/>
  <c r="H32" i="125"/>
  <c r="Q32" i="125" s="1"/>
  <c r="M32" i="125"/>
  <c r="P32" i="125"/>
  <c r="H33" i="125"/>
  <c r="M33" i="125"/>
  <c r="P33" i="125"/>
  <c r="Q33" i="125"/>
  <c r="H34" i="125"/>
  <c r="Q34" i="125" s="1"/>
  <c r="M34" i="125"/>
  <c r="P34" i="125"/>
  <c r="H35" i="125"/>
  <c r="Q35" i="125" s="1"/>
  <c r="M35" i="125"/>
  <c r="P35" i="125"/>
  <c r="H36" i="125"/>
  <c r="M36" i="125"/>
  <c r="P36" i="125"/>
  <c r="Q36" i="125"/>
  <c r="H37" i="125"/>
  <c r="Q37" i="125" s="1"/>
  <c r="M37" i="125"/>
  <c r="P37" i="125"/>
  <c r="H38" i="125"/>
  <c r="Q38" i="125" s="1"/>
  <c r="M38" i="125"/>
  <c r="P38" i="125"/>
  <c r="H39" i="125"/>
  <c r="M39" i="125"/>
  <c r="P39" i="125"/>
  <c r="Q39" i="125"/>
  <c r="H40" i="125"/>
  <c r="Q40" i="125" s="1"/>
  <c r="M40" i="125"/>
  <c r="P40" i="125"/>
  <c r="H41" i="125"/>
  <c r="Q41" i="125" s="1"/>
  <c r="M41" i="125"/>
  <c r="P41" i="125"/>
  <c r="H42" i="125"/>
  <c r="M42" i="125"/>
  <c r="P42" i="125"/>
  <c r="Q42" i="125"/>
  <c r="H43" i="125"/>
  <c r="Q43" i="125" s="1"/>
  <c r="M43" i="125"/>
  <c r="H44" i="125"/>
  <c r="M44" i="125"/>
  <c r="Q44" i="125"/>
  <c r="H45" i="125"/>
  <c r="Q45" i="125" s="1"/>
  <c r="M45" i="125"/>
  <c r="H46" i="125"/>
  <c r="M46" i="125"/>
  <c r="Q46" i="125"/>
  <c r="H47" i="125"/>
  <c r="Q47" i="125" s="1"/>
  <c r="M47" i="125"/>
  <c r="H48" i="125"/>
  <c r="M48" i="125"/>
  <c r="Q48" i="125"/>
  <c r="H49" i="125"/>
  <c r="Q49" i="125" s="1"/>
  <c r="M49" i="125"/>
  <c r="H50" i="125"/>
  <c r="M50" i="125"/>
  <c r="Q50" i="125"/>
  <c r="H6" i="124"/>
  <c r="M6" i="124"/>
  <c r="P6" i="124"/>
  <c r="Q6" i="124"/>
  <c r="H7" i="124"/>
  <c r="Q7" i="124" s="1"/>
  <c r="M7" i="124"/>
  <c r="P7" i="124"/>
  <c r="H8" i="124"/>
  <c r="Q8" i="124" s="1"/>
  <c r="M8" i="124"/>
  <c r="P8" i="124"/>
  <c r="H9" i="124"/>
  <c r="M9" i="124"/>
  <c r="P9" i="124"/>
  <c r="Q9" i="124"/>
  <c r="H10" i="124"/>
  <c r="Q10" i="124" s="1"/>
  <c r="M10" i="124"/>
  <c r="P10" i="124"/>
  <c r="H11" i="124"/>
  <c r="Q11" i="124" s="1"/>
  <c r="M11" i="124"/>
  <c r="P11" i="124"/>
  <c r="H12" i="124"/>
  <c r="M12" i="124"/>
  <c r="P12" i="124"/>
  <c r="Q12" i="124"/>
  <c r="H13" i="124"/>
  <c r="Q13" i="124" s="1"/>
  <c r="M13" i="124"/>
  <c r="P13" i="124"/>
  <c r="H14" i="124"/>
  <c r="Q14" i="124" s="1"/>
  <c r="M14" i="124"/>
  <c r="P14" i="124"/>
  <c r="H15" i="124"/>
  <c r="M15" i="124"/>
  <c r="P15" i="124"/>
  <c r="Q15" i="124"/>
  <c r="H16" i="124"/>
  <c r="Q16" i="124" s="1"/>
  <c r="M16" i="124"/>
  <c r="P16" i="124"/>
  <c r="H17" i="124"/>
  <c r="Q17" i="124" s="1"/>
  <c r="M17" i="124"/>
  <c r="P17" i="124"/>
  <c r="H18" i="124"/>
  <c r="M18" i="124"/>
  <c r="P18" i="124"/>
  <c r="Q18" i="124"/>
  <c r="H19" i="124"/>
  <c r="Q19" i="124" s="1"/>
  <c r="M19" i="124"/>
  <c r="P19" i="124"/>
  <c r="H20" i="124"/>
  <c r="Q20" i="124" s="1"/>
  <c r="M20" i="124"/>
  <c r="P20" i="124"/>
  <c r="H21" i="124"/>
  <c r="M21" i="124"/>
  <c r="P21" i="124"/>
  <c r="Q21" i="124"/>
  <c r="H22" i="124"/>
  <c r="Q22" i="124" s="1"/>
  <c r="M22" i="124"/>
  <c r="P22" i="124"/>
  <c r="H23" i="124"/>
  <c r="Q23" i="124" s="1"/>
  <c r="M23" i="124"/>
  <c r="P23" i="124"/>
  <c r="H24" i="124"/>
  <c r="M24" i="124"/>
  <c r="P24" i="124"/>
  <c r="Q24" i="124"/>
  <c r="H25" i="124"/>
  <c r="Q25" i="124" s="1"/>
  <c r="M25" i="124"/>
  <c r="P25" i="124"/>
  <c r="H26" i="124"/>
  <c r="Q26" i="124" s="1"/>
  <c r="M26" i="124"/>
  <c r="P26" i="124"/>
  <c r="H27" i="124"/>
  <c r="M27" i="124"/>
  <c r="P27" i="124"/>
  <c r="Q27" i="124"/>
  <c r="H28" i="124"/>
  <c r="Q28" i="124" s="1"/>
  <c r="M28" i="124"/>
  <c r="P28" i="124"/>
  <c r="H29" i="124"/>
  <c r="Q29" i="124" s="1"/>
  <c r="M29" i="124"/>
  <c r="P29" i="124"/>
  <c r="H30" i="124"/>
  <c r="M30" i="124"/>
  <c r="P30" i="124"/>
  <c r="Q30" i="124"/>
  <c r="H31" i="124"/>
  <c r="Q31" i="124" s="1"/>
  <c r="M31" i="124"/>
  <c r="P31" i="124"/>
  <c r="H32" i="124"/>
  <c r="Q32" i="124" s="1"/>
  <c r="M32" i="124"/>
  <c r="P32" i="124"/>
  <c r="H33" i="124"/>
  <c r="M33" i="124"/>
  <c r="P33" i="124"/>
  <c r="Q33" i="124"/>
  <c r="H34" i="124"/>
  <c r="Q34" i="124" s="1"/>
  <c r="M34" i="124"/>
  <c r="P34" i="124"/>
  <c r="H35" i="124"/>
  <c r="Q35" i="124" s="1"/>
  <c r="M35" i="124"/>
  <c r="P35" i="124"/>
  <c r="H36" i="124"/>
  <c r="M36" i="124"/>
  <c r="P36" i="124"/>
  <c r="Q36" i="124"/>
  <c r="H37" i="124"/>
  <c r="Q37" i="124" s="1"/>
  <c r="M37" i="124"/>
  <c r="P37" i="124"/>
  <c r="H38" i="124"/>
  <c r="Q38" i="124" s="1"/>
  <c r="M38" i="124"/>
  <c r="P38" i="124"/>
  <c r="H39" i="124"/>
  <c r="M39" i="124"/>
  <c r="P39" i="124"/>
  <c r="Q39" i="124"/>
  <c r="H40" i="124"/>
  <c r="Q40" i="124" s="1"/>
  <c r="M40" i="124"/>
  <c r="P40" i="124"/>
  <c r="H41" i="124"/>
  <c r="Q41" i="124" s="1"/>
  <c r="M41" i="124"/>
  <c r="P41" i="124"/>
  <c r="H42" i="124"/>
  <c r="M42" i="124"/>
  <c r="P42" i="124"/>
  <c r="Q42" i="124"/>
  <c r="H43" i="124"/>
  <c r="Q43" i="124" s="1"/>
  <c r="M43" i="124"/>
  <c r="P43" i="124"/>
  <c r="H44" i="124"/>
  <c r="Q44" i="124" s="1"/>
  <c r="M44" i="124"/>
  <c r="P44" i="124"/>
  <c r="H45" i="124"/>
  <c r="M45" i="124"/>
  <c r="P45" i="124"/>
  <c r="Q45" i="124"/>
  <c r="H46" i="124"/>
  <c r="Q46" i="124" s="1"/>
  <c r="M46" i="124"/>
  <c r="P46" i="124"/>
  <c r="H47" i="124"/>
  <c r="Q47" i="124" s="1"/>
  <c r="M47" i="124"/>
  <c r="P47" i="124"/>
  <c r="H48" i="124"/>
  <c r="M48" i="124"/>
  <c r="P48" i="124"/>
  <c r="Q48" i="124"/>
  <c r="H49" i="124"/>
  <c r="Q49" i="124" s="1"/>
  <c r="M49" i="124"/>
  <c r="P49" i="124"/>
  <c r="H50" i="124"/>
  <c r="Q50" i="124" s="1"/>
  <c r="M50" i="124"/>
  <c r="P50" i="124"/>
  <c r="G50" i="119"/>
  <c r="G49" i="119"/>
  <c r="G48" i="119"/>
  <c r="G47" i="119"/>
  <c r="G46" i="119"/>
  <c r="G45" i="119"/>
  <c r="G44" i="119"/>
  <c r="G43" i="119"/>
  <c r="G42" i="119"/>
  <c r="G41" i="119"/>
  <c r="G40" i="119"/>
  <c r="F39" i="119"/>
  <c r="G39" i="119" s="1"/>
  <c r="F38" i="119"/>
  <c r="G38" i="119" s="1"/>
  <c r="F37" i="119"/>
  <c r="G37" i="119" s="1"/>
  <c r="F36" i="119"/>
  <c r="G36" i="119" s="1"/>
  <c r="F35" i="119"/>
  <c r="G35" i="119" s="1"/>
  <c r="G34" i="119"/>
  <c r="F34" i="119"/>
  <c r="F33" i="119"/>
  <c r="G33" i="119" s="1"/>
  <c r="F32" i="119"/>
  <c r="G32" i="119" s="1"/>
  <c r="F31" i="119"/>
  <c r="G31" i="119" s="1"/>
  <c r="F30" i="119"/>
  <c r="G30" i="119" s="1"/>
  <c r="F29" i="119"/>
  <c r="G29" i="119" s="1"/>
  <c r="G28" i="119"/>
  <c r="F28" i="119"/>
  <c r="F27" i="119"/>
  <c r="G27" i="119" s="1"/>
  <c r="F26" i="119"/>
  <c r="G26" i="119" s="1"/>
  <c r="F25" i="119"/>
  <c r="G25" i="119" s="1"/>
  <c r="F24" i="119"/>
  <c r="G24" i="119" s="1"/>
  <c r="F23" i="119"/>
  <c r="G23" i="119" s="1"/>
  <c r="G22" i="119"/>
  <c r="F22" i="119"/>
  <c r="F21" i="119"/>
  <c r="G21" i="119" s="1"/>
  <c r="F20" i="119"/>
  <c r="G20" i="119" s="1"/>
  <c r="G19" i="119"/>
  <c r="F19" i="119"/>
  <c r="F18" i="119"/>
  <c r="G18" i="119" s="1"/>
  <c r="G17" i="119"/>
  <c r="F17" i="119"/>
  <c r="G16" i="119"/>
  <c r="F16" i="119"/>
  <c r="F15" i="119"/>
  <c r="G15" i="119" s="1"/>
  <c r="F14" i="119"/>
  <c r="G14" i="119" s="1"/>
  <c r="F13" i="119"/>
  <c r="G13" i="119" s="1"/>
  <c r="G12" i="119"/>
  <c r="F12" i="119"/>
  <c r="F11" i="119"/>
  <c r="G11" i="119" s="1"/>
  <c r="G10" i="119"/>
  <c r="F10" i="119"/>
  <c r="F9" i="119"/>
  <c r="G9" i="119" s="1"/>
  <c r="F8" i="119"/>
  <c r="G8" i="119" s="1"/>
  <c r="F7" i="119"/>
  <c r="G7" i="119" s="1"/>
  <c r="Q40" i="127" l="1"/>
  <c r="Q28" i="127"/>
  <c r="Q20" i="127"/>
  <c r="Q16" i="127"/>
  <c r="Q8" i="127"/>
  <c r="Q31" i="127"/>
  <c r="Q42" i="126"/>
  <c r="Q42" i="127" s="1"/>
  <c r="Q39" i="126"/>
  <c r="Q39" i="127" s="1"/>
  <c r="Q36" i="126"/>
  <c r="Q36" i="127" s="1"/>
  <c r="Q33" i="126"/>
  <c r="Q33" i="127" s="1"/>
  <c r="Q30" i="126"/>
  <c r="Q30" i="127" s="1"/>
  <c r="Q27" i="126"/>
  <c r="Q27" i="127" s="1"/>
  <c r="Q24" i="126"/>
  <c r="Q24" i="127" s="1"/>
  <c r="Q21" i="126"/>
  <c r="Q21" i="127" s="1"/>
  <c r="Q18" i="126"/>
  <c r="Q18" i="127" s="1"/>
  <c r="Q15" i="126"/>
  <c r="Q15" i="127" s="1"/>
  <c r="Q12" i="126"/>
  <c r="Q12" i="127" s="1"/>
  <c r="Q9" i="126"/>
  <c r="Q9" i="127" s="1"/>
  <c r="Q6" i="126"/>
  <c r="Q6" i="127" s="1"/>
  <c r="H37" i="127"/>
  <c r="H31" i="127"/>
  <c r="H20" i="127"/>
  <c r="H8" i="127"/>
  <c r="H19" i="127"/>
  <c r="H7" i="127"/>
  <c r="Q41" i="126"/>
  <c r="Q41" i="127" s="1"/>
  <c r="Q38" i="126"/>
  <c r="Q38" i="127" s="1"/>
  <c r="Q35" i="126"/>
  <c r="Q35" i="127" s="1"/>
  <c r="Q32" i="126"/>
  <c r="Q32" i="127" s="1"/>
  <c r="Q29" i="126"/>
  <c r="Q29" i="127" s="1"/>
  <c r="Q26" i="126"/>
  <c r="Q26" i="127" s="1"/>
  <c r="Q23" i="126"/>
  <c r="Q23" i="127" s="1"/>
  <c r="Q17" i="126"/>
  <c r="Q17" i="127" s="1"/>
  <c r="Q14" i="126"/>
  <c r="Q14" i="127" s="1"/>
  <c r="Q11" i="126"/>
  <c r="Q11" i="127" s="1"/>
  <c r="H28" i="127"/>
  <c r="H16" i="127"/>
  <c r="H40" i="127"/>
  <c r="H34" i="127"/>
  <c r="Q25" i="126"/>
  <c r="Q25" i="127" s="1"/>
  <c r="Q22" i="126"/>
  <c r="Q22" i="127" s="1"/>
  <c r="Q13" i="126"/>
  <c r="Q13" i="127" s="1"/>
  <c r="Q10" i="126"/>
  <c r="Q10" i="127" s="1"/>
</calcChain>
</file>

<file path=xl/sharedStrings.xml><?xml version="1.0" encoding="utf-8"?>
<sst xmlns="http://schemas.openxmlformats.org/spreadsheetml/2006/main" count="869" uniqueCount="192">
  <si>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</si>
  <si>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</si>
  <si>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peanut acreage, production, yield, and farm price—annual</t>
  </si>
  <si>
    <t>Peanut acreage, production, yield, by State and region—annual</t>
  </si>
  <si>
    <t>Contact: Maria Bukowski and Bryn Swearingen, USDA, Economic Research Service, Market and Trade Economics Division.</t>
  </si>
  <si>
    <t>Year</t>
  </si>
  <si>
    <t>Planted 1/</t>
  </si>
  <si>
    <t>Harvested 2/</t>
  </si>
  <si>
    <t>Yield per acre</t>
  </si>
  <si>
    <t xml:space="preserve">Production </t>
  </si>
  <si>
    <t>Value 3/</t>
  </si>
  <si>
    <t>Government support</t>
  </si>
  <si>
    <t>Quota</t>
  </si>
  <si>
    <t>Loan rate 4/</t>
  </si>
  <si>
    <t>Nonquota</t>
  </si>
  <si>
    <t>-----------1,000 acres------------</t>
  </si>
  <si>
    <t>Pounds</t>
  </si>
  <si>
    <t>Million pounds</t>
  </si>
  <si>
    <t>Million dollars</t>
  </si>
  <si>
    <t>----------------------Cents/pound----------------------</t>
  </si>
  <si>
    <t>NA</t>
  </si>
  <si>
    <t>NA = Not applicable.</t>
  </si>
  <si>
    <t xml:space="preserve">1/ Area planted for all peanuts. 2/ Area harvested peanuts for nuts. 3/ Crop value is peanuts for nuts. Prior to 2002, includes both quota </t>
  </si>
  <si>
    <t>and nonquota peanuts. 4/ Loan rate established by the 2002 Farm Act. 5/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</si>
  <si>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Production, and Crop Values</t>
    </r>
    <r>
      <rPr>
        <sz val="8"/>
        <rFont val="Helvetica"/>
        <family val="2"/>
      </rPr>
      <t xml:space="preserve">; </t>
    </r>
  </si>
  <si>
    <r>
      <t xml:space="preserve">and USDA, Farm Service Agency, </t>
    </r>
    <r>
      <rPr>
        <i/>
        <sz val="8"/>
        <rFont val="Helvetica"/>
      </rPr>
      <t>Nonrecourse Marketing Assistance Loans and Loan</t>
    </r>
    <r>
      <rPr>
        <sz val="8"/>
        <rFont val="Helvetica"/>
        <family val="2"/>
      </rPr>
      <t xml:space="preserve"> </t>
    </r>
    <r>
      <rPr>
        <i/>
        <sz val="8"/>
        <rFont val="Helvetica"/>
      </rPr>
      <t>Deficiency Payments Fact Sheet.</t>
    </r>
  </si>
  <si>
    <t>Supply</t>
  </si>
  <si>
    <t>Disappearance</t>
  </si>
  <si>
    <t>Price</t>
  </si>
  <si>
    <t>Food use</t>
  </si>
  <si>
    <t xml:space="preserve"> Year</t>
  </si>
  <si>
    <t>Beginning</t>
  </si>
  <si>
    <t>Seed, loss,</t>
  </si>
  <si>
    <t>Season-average</t>
  </si>
  <si>
    <t>per capita</t>
  </si>
  <si>
    <t>beginning</t>
  </si>
  <si>
    <t>stocks</t>
  </si>
  <si>
    <t>Production</t>
  </si>
  <si>
    <t>Imports</t>
  </si>
  <si>
    <t>Total</t>
  </si>
  <si>
    <t>Crush</t>
  </si>
  <si>
    <t>Exports</t>
  </si>
  <si>
    <t>Food</t>
  </si>
  <si>
    <t>shrinkage,</t>
  </si>
  <si>
    <t>received</t>
  </si>
  <si>
    <t>(shelled basis)</t>
  </si>
  <si>
    <t>August 1</t>
  </si>
  <si>
    <t>and</t>
  </si>
  <si>
    <t>by</t>
  </si>
  <si>
    <t xml:space="preserve">        </t>
  </si>
  <si>
    <t xml:space="preserve"> </t>
  </si>
  <si>
    <t>residual 1/</t>
  </si>
  <si>
    <t>farmers</t>
  </si>
  <si>
    <t>---------------------------------------------------------- Million pounds----------------------------------------------------------</t>
  </si>
  <si>
    <t>Cents/pound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</si>
  <si>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</si>
  <si>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</si>
  <si>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</si>
  <si>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</si>
  <si>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</si>
  <si>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</si>
  <si>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</si>
  <si>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</si>
  <si>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</si>
  <si>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</si>
  <si>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</si>
  <si>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</si>
  <si>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</si>
  <si>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</si>
  <si>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</si>
  <si>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</si>
  <si>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</si>
  <si>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</si>
  <si>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</si>
  <si>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</si>
  <si>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</si>
  <si>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</si>
  <si>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</si>
  <si>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</si>
  <si>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</si>
  <si>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</si>
  <si>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</si>
  <si>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 xml:space="preserve">2007/08 </t>
  </si>
  <si>
    <t>2008/09</t>
  </si>
  <si>
    <t>2009/10</t>
  </si>
  <si>
    <t>2010/11</t>
  </si>
  <si>
    <t xml:space="preserve">2011/12 </t>
  </si>
  <si>
    <t>2012/13</t>
  </si>
  <si>
    <t xml:space="preserve">2013/14 </t>
  </si>
  <si>
    <t xml:space="preserve">2014/15 </t>
  </si>
  <si>
    <t xml:space="preserve">2015/16 </t>
  </si>
  <si>
    <t>2016/17</t>
  </si>
  <si>
    <t xml:space="preserve">2017/18 </t>
  </si>
  <si>
    <t xml:space="preserve">2018/19 </t>
  </si>
  <si>
    <t>2019/20</t>
  </si>
  <si>
    <t>2020/21</t>
  </si>
  <si>
    <t>2021/22</t>
  </si>
  <si>
    <t>1/ Estimates for farm use and local sales are not available, so these are now included in residual use. 2/ Estimate. 3/ Forecast.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</si>
  <si>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 xml:space="preserve">, </t>
    </r>
    <r>
      <rPr>
        <i/>
        <sz val="8"/>
        <rFont val="Helvetica"/>
      </rPr>
      <t>Peanut Stocks and Processing</t>
    </r>
    <r>
      <rPr>
        <sz val="8"/>
        <rFont val="Helvetica"/>
      </rPr>
      <t xml:space="preserve">, </t>
    </r>
  </si>
  <si>
    <r>
      <t>and</t>
    </r>
    <r>
      <rPr>
        <i/>
        <sz val="8"/>
        <rFont val="Helvetica"/>
      </rPr>
      <t xml:space="preserve"> Agricultural Prices</t>
    </r>
    <r>
      <rPr>
        <sz val="8"/>
        <rFont val="Helvetica"/>
      </rPr>
      <t>; USDA, Foreign Agricultural Service, Global Agricultural Trade System; and the U.S. Department of Commerce, Bureau of the</t>
    </r>
  </si>
  <si>
    <t>Census, United States Census.</t>
  </si>
  <si>
    <t>Peanut</t>
  </si>
  <si>
    <t xml:space="preserve">Snack </t>
  </si>
  <si>
    <t>Other</t>
  </si>
  <si>
    <t>Clean</t>
  </si>
  <si>
    <t>candy</t>
  </si>
  <si>
    <t>peanuts</t>
  </si>
  <si>
    <t>butter</t>
  </si>
  <si>
    <t>uses</t>
  </si>
  <si>
    <t>in-shell</t>
  </si>
  <si>
    <t>-------------------------------- Million pounds--------------------------------</t>
  </si>
  <si>
    <t>2022/23</t>
  </si>
  <si>
    <r>
      <t xml:space="preserve">Source: USDA, Economic Research Service using data from USDA, National Agricultural </t>
    </r>
    <r>
      <rPr>
        <i/>
        <sz val="8"/>
        <rFont val="Helvetica"/>
        <family val="2"/>
      </rPr>
      <t/>
    </r>
  </si>
  <si>
    <r>
      <t xml:space="preserve">Statistics Service, </t>
    </r>
    <r>
      <rPr>
        <i/>
        <sz val="8"/>
        <rFont val="Helvetica"/>
      </rPr>
      <t>Peanut Stocks and Processing.</t>
    </r>
  </si>
  <si>
    <t>Crop</t>
  </si>
  <si>
    <t>Southeast</t>
  </si>
  <si>
    <t>Southwest</t>
  </si>
  <si>
    <t>Virginia and North Carolina</t>
  </si>
  <si>
    <t>United</t>
  </si>
  <si>
    <t>year</t>
  </si>
  <si>
    <t>AL</t>
  </si>
  <si>
    <t>FL</t>
  </si>
  <si>
    <t>GA</t>
  </si>
  <si>
    <t>SC</t>
  </si>
  <si>
    <t>MS</t>
  </si>
  <si>
    <t>OK</t>
  </si>
  <si>
    <t>TX</t>
  </si>
  <si>
    <t>NM</t>
  </si>
  <si>
    <t>AR</t>
  </si>
  <si>
    <t>VA</t>
  </si>
  <si>
    <t>NC</t>
  </si>
  <si>
    <t>States</t>
  </si>
  <si>
    <t>1,000 acres</t>
  </si>
  <si>
    <t>1980</t>
  </si>
  <si>
    <t>--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</si>
  <si>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</si>
  <si>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</si>
  <si>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</si>
  <si>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</si>
  <si>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</si>
  <si>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</si>
  <si>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</si>
  <si>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</si>
  <si>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</si>
  <si>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</si>
  <si>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</si>
  <si>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</si>
  <si>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</si>
  <si>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</si>
  <si>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</si>
  <si>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</si>
  <si>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</si>
  <si>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</si>
  <si>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</si>
  <si>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</si>
  <si>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</si>
  <si>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</si>
  <si>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</si>
  <si>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</si>
  <si>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</si>
  <si>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</si>
  <si>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</si>
  <si>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</si>
  <si>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</si>
  <si>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</si>
  <si>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</si>
  <si>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</si>
  <si>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</si>
  <si>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</si>
  <si>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</si>
  <si>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</si>
  <si>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-- = No data.</t>
  </si>
  <si>
    <t>AL = Alabama. FL = Florida. GA = Georgia. SC = South Carolina. MS=Mississippi. OK = Oklahoma. TX = Texas. NM = New Mexico. AR=Arkansas. VA = Virginia. NC = North Carolina.</t>
  </si>
  <si>
    <t>1,000 pounds (in-shell)</t>
  </si>
  <si>
    <t>Table 10—Peanuts: U.S. acreage planted, harvested, yield, production, and value, 1980–2024</t>
  </si>
  <si>
    <t>2024 5/</t>
  </si>
  <si>
    <t>Table 11—Peanuts (farmers' stock basis): U.S. supply, disappearance, and price, 1980/81–2024/25</t>
  </si>
  <si>
    <t>2023/24 2/</t>
  </si>
  <si>
    <t>2024/25 3/</t>
  </si>
  <si>
    <t>Table 12—U.S. food uses of peanuts, shelled basis, 1980/81–2023/24</t>
  </si>
  <si>
    <t>2023/24</t>
  </si>
  <si>
    <t>Table 13—Peanuts: U.S. planted acreage, by State and region, 1980–2024</t>
  </si>
  <si>
    <t>Table 14—Peanuts: U.S. harvested acreage, by State and region, 1980–2024</t>
  </si>
  <si>
    <t>Table 15—Peanuts: U.S. production, by State and region, 1980–2024</t>
  </si>
  <si>
    <t>Table 16—Peanuts: Yield per harvested acre, by State and region, 1980–2024</t>
  </si>
  <si>
    <t>Last updated: March 20, 2025.</t>
  </si>
  <si>
    <t>MO</t>
  </si>
  <si>
    <t>Note: Beginning in 2024, the USDA, National Agricultural Statistics Service began peanut estimates for Missouri and discontinued estimates for New Mexico.</t>
  </si>
  <si>
    <r>
      <t xml:space="preserve">Source: USDA, Economic Research Service using data from USDA, National Agricultural Statistics Service, </t>
    </r>
    <r>
      <rPr>
        <i/>
        <sz val="8"/>
        <rFont val="Helvetica"/>
      </rPr>
      <t>Crop Production</t>
    </r>
    <r>
      <rPr>
        <sz val="8"/>
        <rFont val="Helvetica"/>
      </rPr>
      <t>.</t>
    </r>
  </si>
  <si>
    <t>AL = Alabama. FL = Florida. GA = Georgia. SC = South Carolina. MS=Mississippi. MO=Missouri. OK = Oklahoma. TX = Texas. NM = New Mexico. AR=Arkansas. VA = Virginia. NC = North Carolina.</t>
  </si>
  <si>
    <t>Note: Beginning in 2024, the USDA, National Agricultural Statistics Service began peanut production estimates for Missouri and discontinued estimates for New Mexico.</t>
  </si>
  <si>
    <t>Last updated: 03/20/2025.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</si>
</sst>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_)"/>
    <numFmt numFmtId="165" formatCode="#,##0.0"/>
    <numFmt numFmtId="166" formatCode="#,##0_____)"/>
    <numFmt numFmtId="167" formatCode="#,##0.0___)"/>
    <numFmt numFmtId="168" formatCode="#,##0.00___)"/>
    <numFmt numFmtId="169" formatCode="#,##0___________________)"/>
    <numFmt numFmtId="170" formatCode="#,##0___)"/>
    <numFmt numFmtId="171" formatCode="0.0"/>
    <numFmt numFmtId="172" formatCode="_(* #,##0_);_(* \(#,##0\);_(* &quot;-&quot;??_);_(@_)"/>
    <numFmt numFmtId="173" formatCode="#,##0.0_)"/>
    <numFmt numFmtId="174" formatCode="#,##0_)"/>
  </numFmts>
  <fonts count="43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u/>
      <sz val="8"/>
      <color rgb="FF0000E1"/>
      <name val="Helvetica"/>
      <family val="2"/>
    </font>
    <font>
      <sz val="8"/>
      <color theme="1"/>
      <name val="Helvetica"/>
    </font>
    <font>
      <i/>
      <sz val="8"/>
      <name val="Helvetica"/>
      <family val="2"/>
    </font>
    <font>
      <sz val="8"/>
      <color rgb="FF000000"/>
      <name val="Arial"/>
      <family val="2"/>
    </font>
    <font>
      <i/>
      <sz val="8"/>
      <color indexed="8"/>
      <name val="Arial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1" applyFont="1" applyFill="1" applyAlignment="1" applyProtection="1">
      <alignment horizontal="left"/>
    </xf>
    <xf numFmtId="0" fontId="4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quotePrefix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2" xfId="0" quotePrefix="1" applyFon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quotePrefix="1" applyFont="1" applyAlignment="1">
      <alignment horizontal="left"/>
    </xf>
    <xf numFmtId="169" fontId="0" fillId="0" borderId="0" xfId="0" applyNumberFormat="1" applyAlignment="1">
      <alignment horizontal="right"/>
    </xf>
    <xf numFmtId="0" fontId="0" fillId="0" borderId="13" xfId="0" applyBorder="1"/>
    <xf numFmtId="0" fontId="0" fillId="0" borderId="10" xfId="0" applyBorder="1" applyAlignment="1">
      <alignment horizontal="left" indent="4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Continuous"/>
    </xf>
    <xf numFmtId="170" fontId="0" fillId="0" borderId="0" xfId="0" applyNumberFormat="1"/>
    <xf numFmtId="170" fontId="4" fillId="0" borderId="0" xfId="0" applyNumberFormat="1" applyFont="1"/>
    <xf numFmtId="167" fontId="0" fillId="0" borderId="0" xfId="0" applyNumberFormat="1" applyAlignment="1">
      <alignment horizontal="left" indent="3"/>
    </xf>
    <xf numFmtId="166" fontId="4" fillId="0" borderId="0" xfId="0" applyNumberFormat="1" applyFont="1"/>
    <xf numFmtId="0" fontId="4" fillId="0" borderId="0" xfId="0" applyFont="1" applyAlignment="1">
      <alignment horizontal="left"/>
    </xf>
    <xf numFmtId="2" fontId="0" fillId="0" borderId="0" xfId="0" applyNumberFormat="1"/>
    <xf numFmtId="171" fontId="0" fillId="0" borderId="0" xfId="0" applyNumberFormat="1"/>
    <xf numFmtId="2" fontId="38" fillId="0" borderId="0" xfId="0" applyNumberFormat="1" applyFont="1"/>
    <xf numFmtId="0" fontId="38" fillId="0" borderId="0" xfId="0" applyFont="1" applyAlignment="1">
      <alignment horizontal="left"/>
    </xf>
    <xf numFmtId="170" fontId="38" fillId="0" borderId="0" xfId="0" applyNumberFormat="1" applyFont="1"/>
    <xf numFmtId="167" fontId="38" fillId="0" borderId="0" xfId="0" applyNumberFormat="1" applyFont="1" applyAlignment="1">
      <alignment horizontal="left" indent="3"/>
    </xf>
    <xf numFmtId="171" fontId="38" fillId="0" borderId="0" xfId="0" applyNumberFormat="1" applyFont="1"/>
    <xf numFmtId="0" fontId="38" fillId="0" borderId="0" xfId="0" applyFont="1"/>
    <xf numFmtId="0" fontId="4" fillId="0" borderId="0" xfId="0" applyFont="1" applyAlignment="1">
      <alignment horizontal="right"/>
    </xf>
    <xf numFmtId="0" fontId="6" fillId="0" borderId="0" xfId="0" quotePrefix="1" applyFont="1" applyAlignment="1">
      <alignment horizontal="center"/>
    </xf>
    <xf numFmtId="172" fontId="4" fillId="0" borderId="0" xfId="52" applyNumberFormat="1" applyFont="1"/>
    <xf numFmtId="3" fontId="0" fillId="0" borderId="0" xfId="0" applyNumberFormat="1"/>
    <xf numFmtId="0" fontId="0" fillId="0" borderId="11" xfId="0" applyBorder="1" applyAlignment="1">
      <alignment horizontal="left" indent="2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center"/>
    </xf>
    <xf numFmtId="167" fontId="0" fillId="0" borderId="0" xfId="0" applyNumberFormat="1"/>
    <xf numFmtId="173" fontId="0" fillId="0" borderId="0" xfId="0" applyNumberFormat="1"/>
    <xf numFmtId="165" fontId="0" fillId="0" borderId="0" xfId="0" applyNumberFormat="1"/>
    <xf numFmtId="0" fontId="4" fillId="0" borderId="12" xfId="0" quotePrefix="1" applyFont="1" applyBorder="1" applyAlignment="1">
      <alignment horizontal="left"/>
    </xf>
    <xf numFmtId="3" fontId="0" fillId="0" borderId="12" xfId="0" applyNumberFormat="1" applyBorder="1" applyAlignment="1">
      <alignment horizontal="center"/>
    </xf>
    <xf numFmtId="166" fontId="0" fillId="0" borderId="12" xfId="0" applyNumberFormat="1" applyBorder="1"/>
    <xf numFmtId="167" fontId="0" fillId="0" borderId="1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0" fillId="0" borderId="12" xfId="0" applyBorder="1"/>
    <xf numFmtId="0" fontId="4" fillId="0" borderId="12" xfId="0" applyFont="1" applyBorder="1"/>
    <xf numFmtId="0" fontId="40" fillId="0" borderId="12" xfId="0" quotePrefix="1" applyFont="1" applyBorder="1" applyAlignment="1">
      <alignment vertical="top" readingOrder="1"/>
    </xf>
    <xf numFmtId="167" fontId="0" fillId="0" borderId="12" xfId="0" applyNumberFormat="1" applyBorder="1"/>
    <xf numFmtId="173" fontId="0" fillId="0" borderId="12" xfId="0" applyNumberFormat="1" applyBorder="1"/>
    <xf numFmtId="174" fontId="0" fillId="0" borderId="12" xfId="0" applyNumberFormat="1" applyBorder="1"/>
    <xf numFmtId="0" fontId="42" fillId="0" borderId="12" xfId="0" applyFont="1" applyBorder="1"/>
    <xf numFmtId="173" fontId="0" fillId="0" borderId="0" xfId="0" applyNumberFormat="1" applyAlignment="1">
      <alignment horizontal="center"/>
    </xf>
    <xf numFmtId="0" fontId="41" fillId="0" borderId="0" xfId="3" applyFont="1" applyAlignment="1" applyProtection="1">
      <alignment horizontal="right" vertical="top" wrapText="1" readingOrder="1"/>
      <protection locked="0"/>
    </xf>
    <xf numFmtId="167" fontId="0" fillId="0" borderId="0" xfId="0" quotePrefix="1" applyNumberFormat="1" applyAlignment="1">
      <alignment horizontal="center"/>
    </xf>
    <xf numFmtId="174" fontId="0" fillId="0" borderId="0" xfId="0" applyNumberFormat="1" applyAlignment="1">
      <alignment horizontal="center"/>
    </xf>
    <xf numFmtId="174" fontId="0" fillId="0" borderId="0" xfId="0" quotePrefix="1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2" xfId="0" quotePrefix="1" applyBorder="1" applyAlignment="1">
      <alignment horizontal="left"/>
    </xf>
  </cellXfs>
  <cellStyles count="61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1F0DA953-7E8F-4E11-8771-0AA125A0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55F1750B-F97E-458E-A4A5-9192A6A8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0942B07E-E411-4A39-81A7-C96C2CB9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9216F200-B4E0-4603-AB6D-0A2269FA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C711F1A0-0050-479B-924E-BD58AA99D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419FC762-4A11-41CA-98E7-C64EED776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190A3A8D-33F8-47B4-9059-DC3A4FE8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8923C0D8-2516-4C3E-BD57-00C3D642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81994271-2330-4F87-B023-BE9037E6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7191FEB1-FD3E-4282-A4EB-3E7DC952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21D7DAB8-42B3-49B5-9A17-3A030FD0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EDFE2A91-005E-4769-83A4-7CF8869F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1285ADC4-257A-4231-87B5-8C22D95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4185E718-2ABA-45E5-AC52-DDDC1B9C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0C563D9D-F718-4ABD-966D-19CC4F1C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B6066067-A2B8-418C-BD57-9CD993CE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24C95EB1-7EDC-4BD3-8665-592993FC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3617EF09-D1E2-41F2-A9D4-7CFD9CC8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8D553861-0778-4C7B-8573-A059838C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6D4C6EB4-0F53-48A5-AAAD-B32C464A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54F4B1F4-04EF-4D53-A972-4FFF9E89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6072875D-0E1E-4D40-8AFB-56F26545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23A1559C-9976-46AC-B30D-C51B9E4E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98E29FD0-4AAA-4827-8AAF-69811EBC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8F8783D5-30C9-4F87-A38F-D5F16767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DB9BE0F0-50B6-4732-84CD-E2E5CB4E1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B2A0061D-9C9F-4221-B04C-ADFDEBF3D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073EE401-10BA-40D4-A46E-C2FA3B5B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2B6F0475-D075-408F-A3E7-8E458640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8C403D4F-A8FE-4A7F-BC4F-ED6B9E4FF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FC632CC2-6975-4521-A89A-1811AB30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566A4382-D126-4330-8FA7-4D18C116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721C3D7E-38F1-4DC5-AE9B-E1845F43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2942DD54-F72D-43BC-93EF-ED12EDBE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C8AE19A4-5AB0-4701-B2E2-C23A6B4C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E64DCE4E-5E6C-4E46-95E0-8A913F21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A89CC636-59A3-4FEA-8530-B01A3CB0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E447B57A-8D3E-449D-9761-2A135468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4ED316A5-C06C-4CB7-B4E4-92C3A7D8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95441175-5B9A-430B-BEBD-406089FC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5F9D033A-BFA6-4497-AA37-86C5E1828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F7DA9528-B640-4C28-A192-11C781D81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AC59254A-FCE0-47AF-99B3-0D6779E6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9AC56448-855E-48A2-AE3A-A0A9CF09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6A5EF78D-1E6A-4588-9153-3A82F60C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D7A510EE-D506-4918-B27F-11D349CE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325B6D76-9B5E-4AB5-B6D1-BDE7568C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5C68427A-04E6-4991-8415-E3859FC9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519F61CC-6BAB-43C6-B63D-E27D12CC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5BA59587-C999-441C-84D0-D19219E1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74E9835-7311-40D7-964E-3C77DE934AB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5B9CDE-025B-4FB3-B672-BC9BED6471F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B4B4FA-7E9D-4413-B7E7-F5A6E6ECAC0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66B8C51-F9EF-49D8-8187-C9610B1DD77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6ACF22-849C-4285-B81F-969E2228CDE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6F6F9F-F758-478D-8074-F3460DDA110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67E945-C7FB-4210-85F8-F03C600E43C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07713B9-B7CC-4815-8139-3B5298E180A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EE3FD4-A6D3-41F0-8659-6C9631F63A1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4FD469-D6E6-4325-9F45-AF261BE98A2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559DB2-E527-4A6A-9D6B-B6AF3696356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245C75-BC5D-4D11-94CB-3423CED1785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9B3F-2203-4FD3-A9AC-85C9ED157C9C}">
  <sheetPr>
    <pageSetUpPr fitToPage="1"/>
  </sheetPr>
  <dimension ref="A1:A21"/>
  <sheetViews>
    <sheetView tabSelected="1" workbookViewId="0">
      <selection activeCell="A14" sqref="A14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1" ht="44.25" customHeight="1" x14ac:dyDescent="0.25">
      <c r="A1" s="3"/>
    </row>
    <row r="2" spans="1:1" ht="17.399999999999999" x14ac:dyDescent="0.3">
      <c r="A2" s="9" t="s">
        <v>0</v>
      </c>
    </row>
    <row r="3" spans="1:1" s="6" customFormat="1" ht="10.199999999999999" x14ac:dyDescent="0.2">
      <c r="A3" s="5"/>
    </row>
    <row r="4" spans="1:1" x14ac:dyDescent="0.25">
      <c r="A4" s="4"/>
    </row>
    <row r="5" spans="1:1" x14ac:dyDescent="0.25">
      <c r="A5" s="8" t="s">
        <v>2</v>
      </c>
    </row>
    <row r="6" spans="1:1" x14ac:dyDescent="0.25">
      <c r="A6" s="13" t="s">
        <v>174</v>
      </c>
    </row>
    <row r="7" spans="1:1" x14ac:dyDescent="0.25">
      <c r="A7" s="13" t="s">
        <v>176</v>
      </c>
    </row>
    <row r="8" spans="1:1" x14ac:dyDescent="0.25">
      <c r="A8" s="13" t="s">
        <v>179</v>
      </c>
    </row>
    <row r="9" spans="1:1" x14ac:dyDescent="0.25">
      <c r="A9" s="11"/>
    </row>
    <row r="10" spans="1:1" x14ac:dyDescent="0.25">
      <c r="A10" s="8" t="s">
        <v>3</v>
      </c>
    </row>
    <row r="11" spans="1:1" x14ac:dyDescent="0.25">
      <c r="A11" s="13" t="s">
        <v>181</v>
      </c>
    </row>
    <row r="12" spans="1:1" x14ac:dyDescent="0.25">
      <c r="A12" s="13" t="s">
        <v>182</v>
      </c>
    </row>
    <row r="13" spans="1:1" x14ac:dyDescent="0.25">
      <c r="A13" s="13" t="s">
        <v>183</v>
      </c>
    </row>
    <row r="14" spans="1:1" x14ac:dyDescent="0.25">
      <c r="A14" s="13" t="s">
        <v>184</v>
      </c>
    </row>
    <row r="15" spans="1:1" x14ac:dyDescent="0.25">
      <c r="A15" s="11"/>
    </row>
    <row r="16" spans="1:1" x14ac:dyDescent="0.25">
      <c r="A16" s="10"/>
    </row>
    <row r="17" spans="1:1" x14ac:dyDescent="0.25">
      <c r="A17" s="2" t="s">
        <v>4</v>
      </c>
    </row>
    <row r="18" spans="1:1" x14ac:dyDescent="0.25">
      <c r="A18" s="2"/>
    </row>
    <row r="20" spans="1:1" x14ac:dyDescent="0.25">
      <c r="A20" s="12" t="s">
        <v>185</v>
      </c>
    </row>
    <row r="21" spans="1:1" x14ac:dyDescent="0.25">
      <c r="A21" s="1" t="s">
        <v>1</v>
      </c>
    </row>
  </sheetData>
  <hyperlinks>
    <hyperlink ref="A6" location="'tab 10'!A1" display="Table 10—Peanuts: Acreage planted, harvested, yield, production, and value, U.S., 1980–-2020" xr:uid="{7482D083-8B5E-4B14-83DB-F861D783574A}"/>
    <hyperlink ref="A7" location="'tab 11'!A1" display="Table 11—Peanuts (farmers' stock basis): Supply, disappearance, and price, U.S., 1980/81–2020/21" xr:uid="{92AB75AB-066F-4D2E-A9BB-F81D5C9491F4}"/>
    <hyperlink ref="A11" location="'tab 13'!A1" display="Table 13—Peanuts: Planted acreage, by State and region, 1980–2020" xr:uid="{C5B0C9FF-B6CA-4C2F-90EA-9238C1375E35}"/>
    <hyperlink ref="A12" location="'tab 14'!A1" display="Table 14—Peanuts: Harvested acreage, by State and region, 1980–2020" xr:uid="{63EB2A6B-B7C5-4CA4-BF90-41C4FF1910DB}"/>
    <hyperlink ref="A13" location="'tab 15'!A1" display="Table 15—Peanuts: U.S. production, by State and region, 1980–2020" xr:uid="{872278ED-CDA9-431E-92FB-D0C4541446D4}"/>
    <hyperlink ref="A14" location="'tab 16'!A1" display="Table 16—Peanuts: Yield per harvested acre, by State and region, 1980–2020" xr:uid="{254F9266-2DDB-475F-A47F-6FE4DAF4C194}"/>
    <hyperlink ref="A8" location="'tab 12'!A1" display="Table 12—U.S. food uses of peanuts, shelled basis, 1980/81–2019/20" xr:uid="{723D5D7D-1692-45BA-B352-7A339D5E3A12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31B4-28B0-44D2-B0D8-CF80F09E9C93}">
  <sheetPr>
    <pageSetUpPr fitToPage="1"/>
  </sheetPr>
  <dimension ref="A1:AJ56"/>
  <sheetViews>
    <sheetView workbookViewId="0"/>
  </sheetViews>
  <sheetFormatPr defaultRowHeight="10.199999999999999" x14ac:dyDescent="0.2"/>
  <cols>
    <col min="1" max="9" width="12.85546875" customWidth="1"/>
  </cols>
  <sheetData>
    <row r="1" spans="1:9" x14ac:dyDescent="0.2">
      <c r="A1" s="15" t="s">
        <v>174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5</v>
      </c>
      <c r="B2" s="17" t="s">
        <v>6</v>
      </c>
      <c r="C2" s="18" t="s">
        <v>7</v>
      </c>
      <c r="D2" s="18" t="s">
        <v>8</v>
      </c>
      <c r="E2" s="18" t="s">
        <v>9</v>
      </c>
      <c r="F2" s="18" t="s">
        <v>10</v>
      </c>
      <c r="G2" s="15"/>
      <c r="H2" s="19" t="s">
        <v>11</v>
      </c>
      <c r="I2" s="15"/>
    </row>
    <row r="3" spans="1:9" x14ac:dyDescent="0.2">
      <c r="A3" s="15"/>
      <c r="B3" s="20"/>
      <c r="C3" s="20"/>
      <c r="D3" s="20"/>
      <c r="E3" s="20"/>
      <c r="F3" s="20"/>
      <c r="G3" s="20" t="s">
        <v>12</v>
      </c>
      <c r="H3" s="19" t="s">
        <v>13</v>
      </c>
      <c r="I3" s="20" t="s">
        <v>14</v>
      </c>
    </row>
    <row r="4" spans="1:9" x14ac:dyDescent="0.2">
      <c r="B4" s="21" t="s">
        <v>15</v>
      </c>
      <c r="C4" s="22"/>
      <c r="D4" s="23" t="s">
        <v>16</v>
      </c>
      <c r="E4" s="23" t="s">
        <v>17</v>
      </c>
      <c r="F4" s="23" t="s">
        <v>18</v>
      </c>
      <c r="G4" s="24"/>
      <c r="H4" s="25" t="s">
        <v>19</v>
      </c>
      <c r="I4" s="68"/>
    </row>
    <row r="6" spans="1:9" x14ac:dyDescent="0.2">
      <c r="A6" s="1">
        <v>1980</v>
      </c>
      <c r="B6" s="30">
        <v>1521.4</v>
      </c>
      <c r="C6" s="30">
        <v>1399.8</v>
      </c>
      <c r="D6" s="26">
        <f t="shared" ref="D6:D42" si="0">+E6*1000/C6</f>
        <v>1645.065009287041</v>
      </c>
      <c r="E6" s="30">
        <v>2302.7620000000002</v>
      </c>
      <c r="F6" s="27">
        <v>578.63499999999999</v>
      </c>
      <c r="G6" s="28">
        <v>22.75</v>
      </c>
      <c r="H6" s="28" t="s">
        <v>20</v>
      </c>
      <c r="I6" s="28">
        <v>12.5</v>
      </c>
    </row>
    <row r="7" spans="1:9" x14ac:dyDescent="0.2">
      <c r="A7" s="1">
        <v>1981</v>
      </c>
      <c r="B7" s="30">
        <v>1514</v>
      </c>
      <c r="C7" s="30">
        <v>1488.7</v>
      </c>
      <c r="D7" s="26">
        <f t="shared" si="0"/>
        <v>2674.7161953382147</v>
      </c>
      <c r="E7" s="30">
        <v>3981.85</v>
      </c>
      <c r="F7" s="27">
        <v>1069.5260000000001</v>
      </c>
      <c r="G7" s="28">
        <v>22.75</v>
      </c>
      <c r="H7" s="28" t="s">
        <v>20</v>
      </c>
      <c r="I7" s="28">
        <v>12.5</v>
      </c>
    </row>
    <row r="8" spans="1:9" x14ac:dyDescent="0.2">
      <c r="A8" s="1">
        <v>1982</v>
      </c>
      <c r="B8" s="30">
        <v>1311.4</v>
      </c>
      <c r="C8" s="30">
        <v>1277.4000000000001</v>
      </c>
      <c r="D8" s="26">
        <f t="shared" si="0"/>
        <v>2693.1697197432281</v>
      </c>
      <c r="E8" s="30">
        <v>3440.2550000000001</v>
      </c>
      <c r="F8" s="27">
        <v>862.68600000000004</v>
      </c>
      <c r="G8" s="28">
        <v>27.5</v>
      </c>
      <c r="H8" s="28" t="s">
        <v>20</v>
      </c>
      <c r="I8" s="28">
        <v>10</v>
      </c>
    </row>
    <row r="9" spans="1:9" x14ac:dyDescent="0.2">
      <c r="A9" s="1">
        <v>1983</v>
      </c>
      <c r="B9" s="30">
        <v>1411</v>
      </c>
      <c r="C9" s="30">
        <v>1373.5</v>
      </c>
      <c r="D9" s="26">
        <f t="shared" si="0"/>
        <v>2399.3665817255187</v>
      </c>
      <c r="E9" s="30">
        <v>3295.53</v>
      </c>
      <c r="F9" s="27">
        <v>814.57899999999995</v>
      </c>
      <c r="G9" s="28">
        <v>27.5</v>
      </c>
      <c r="H9" s="28" t="s">
        <v>20</v>
      </c>
      <c r="I9" s="28">
        <v>9.3000000000000007</v>
      </c>
    </row>
    <row r="10" spans="1:9" x14ac:dyDescent="0.2">
      <c r="A10" s="1">
        <v>1984</v>
      </c>
      <c r="B10" s="30">
        <v>1558.6</v>
      </c>
      <c r="C10" s="30">
        <v>1528</v>
      </c>
      <c r="D10" s="26">
        <f t="shared" si="0"/>
        <v>2883.4718586387435</v>
      </c>
      <c r="E10" s="30">
        <v>4405.9449999999997</v>
      </c>
      <c r="F10" s="27">
        <v>1230.7739999999999</v>
      </c>
      <c r="G10" s="28">
        <v>27.5</v>
      </c>
      <c r="H10" s="28" t="s">
        <v>20</v>
      </c>
      <c r="I10" s="28">
        <v>9.3000000000000007</v>
      </c>
    </row>
    <row r="11" spans="1:9" x14ac:dyDescent="0.2">
      <c r="A11" s="1">
        <v>1985</v>
      </c>
      <c r="B11" s="30">
        <v>1490.4</v>
      </c>
      <c r="C11" s="30">
        <v>1467.4</v>
      </c>
      <c r="D11" s="26">
        <f t="shared" si="0"/>
        <v>2809.5863431920407</v>
      </c>
      <c r="E11" s="30">
        <v>4122.7870000000003</v>
      </c>
      <c r="F11" s="27">
        <v>1003.412</v>
      </c>
      <c r="G11" s="28">
        <v>27.95</v>
      </c>
      <c r="H11" s="28" t="s">
        <v>20</v>
      </c>
      <c r="I11" s="28">
        <v>7.4</v>
      </c>
    </row>
    <row r="12" spans="1:9" x14ac:dyDescent="0.2">
      <c r="A12" s="1">
        <v>1986</v>
      </c>
      <c r="B12" s="30">
        <v>1564.7</v>
      </c>
      <c r="C12" s="30">
        <v>1535.2</v>
      </c>
      <c r="D12" s="26">
        <f t="shared" si="0"/>
        <v>2408.2106565919748</v>
      </c>
      <c r="E12" s="30">
        <v>3697.085</v>
      </c>
      <c r="F12" s="27">
        <v>1073.279</v>
      </c>
      <c r="G12" s="28">
        <v>30.37</v>
      </c>
      <c r="H12" s="28" t="s">
        <v>20</v>
      </c>
      <c r="I12" s="28">
        <v>7.5</v>
      </c>
    </row>
    <row r="13" spans="1:9" x14ac:dyDescent="0.2">
      <c r="A13" s="1">
        <v>1987</v>
      </c>
      <c r="B13" s="30">
        <v>1567.4</v>
      </c>
      <c r="C13" s="30">
        <v>1547.4</v>
      </c>
      <c r="D13" s="26">
        <f t="shared" si="0"/>
        <v>2336.8295204859764</v>
      </c>
      <c r="E13" s="30">
        <v>3616.01</v>
      </c>
      <c r="F13" s="27">
        <v>1021.87</v>
      </c>
      <c r="G13" s="28">
        <v>30.41</v>
      </c>
      <c r="H13" s="28" t="s">
        <v>20</v>
      </c>
      <c r="I13" s="28">
        <v>7.5</v>
      </c>
    </row>
    <row r="14" spans="1:9" x14ac:dyDescent="0.2">
      <c r="A14" s="1">
        <v>1988</v>
      </c>
      <c r="B14" s="30">
        <v>1657.4</v>
      </c>
      <c r="C14" s="30">
        <v>1628.4</v>
      </c>
      <c r="D14" s="26">
        <f t="shared" si="0"/>
        <v>2444.6800540407762</v>
      </c>
      <c r="E14" s="30">
        <v>3980.9169999999999</v>
      </c>
      <c r="F14" s="27">
        <v>1115.202</v>
      </c>
      <c r="G14" s="28">
        <v>30.76</v>
      </c>
      <c r="H14" s="28" t="s">
        <v>20</v>
      </c>
      <c r="I14" s="28">
        <v>7.5</v>
      </c>
    </row>
    <row r="15" spans="1:9" x14ac:dyDescent="0.2">
      <c r="A15" s="1">
        <v>1989</v>
      </c>
      <c r="B15" s="30">
        <v>1665.2</v>
      </c>
      <c r="C15" s="30">
        <v>1644.7</v>
      </c>
      <c r="D15" s="26">
        <f t="shared" si="0"/>
        <v>2425.9713017571594</v>
      </c>
      <c r="E15" s="30">
        <v>3989.9949999999999</v>
      </c>
      <c r="F15" s="27">
        <v>1118.875</v>
      </c>
      <c r="G15" s="28">
        <v>30.79</v>
      </c>
      <c r="H15" s="28" t="s">
        <v>20</v>
      </c>
      <c r="I15" s="28">
        <v>7.5</v>
      </c>
    </row>
    <row r="16" spans="1:9" x14ac:dyDescent="0.2">
      <c r="A16" s="1">
        <v>1990</v>
      </c>
      <c r="B16" s="30">
        <v>1846</v>
      </c>
      <c r="C16" s="30">
        <v>1815.5</v>
      </c>
      <c r="D16" s="26">
        <f t="shared" si="0"/>
        <v>1984.9352795373175</v>
      </c>
      <c r="E16" s="30">
        <v>3603.65</v>
      </c>
      <c r="F16" s="27">
        <v>1249.8989999999999</v>
      </c>
      <c r="G16" s="28">
        <v>31.57</v>
      </c>
      <c r="H16" s="28" t="s">
        <v>20</v>
      </c>
      <c r="I16" s="28">
        <v>7.5</v>
      </c>
    </row>
    <row r="17" spans="1:36" x14ac:dyDescent="0.2">
      <c r="A17" s="1">
        <v>1991</v>
      </c>
      <c r="B17" s="30">
        <v>2039.2</v>
      </c>
      <c r="C17" s="30">
        <v>2015.7</v>
      </c>
      <c r="D17" s="26">
        <f t="shared" si="0"/>
        <v>2444.0988242297963</v>
      </c>
      <c r="E17" s="30">
        <v>4926.57</v>
      </c>
      <c r="F17" s="27">
        <v>1392.0409999999999</v>
      </c>
      <c r="G17" s="28">
        <v>32.14</v>
      </c>
      <c r="H17" s="28" t="s">
        <v>20</v>
      </c>
      <c r="I17" s="28">
        <v>7.49</v>
      </c>
    </row>
    <row r="18" spans="1:36" x14ac:dyDescent="0.2">
      <c r="A18" s="1">
        <v>1992</v>
      </c>
      <c r="B18" s="30">
        <v>1686.6</v>
      </c>
      <c r="C18" s="30">
        <v>1669.1</v>
      </c>
      <c r="D18" s="26">
        <f t="shared" si="0"/>
        <v>2566.9019231921397</v>
      </c>
      <c r="E18" s="30">
        <v>4284.4160000000002</v>
      </c>
      <c r="F18" s="27">
        <v>1285.3610000000001</v>
      </c>
      <c r="G18" s="28">
        <v>33.75</v>
      </c>
      <c r="H18" s="28" t="s">
        <v>20</v>
      </c>
      <c r="I18" s="28">
        <v>6.55</v>
      </c>
    </row>
    <row r="19" spans="1:36" x14ac:dyDescent="0.2">
      <c r="A19" s="1">
        <v>1993</v>
      </c>
      <c r="B19" s="30">
        <v>1733.5</v>
      </c>
      <c r="C19" s="30">
        <v>1689.8</v>
      </c>
      <c r="D19" s="26">
        <f t="shared" si="0"/>
        <v>2007.5837377204402</v>
      </c>
      <c r="E19" s="30">
        <v>3392.415</v>
      </c>
      <c r="F19" s="27">
        <v>1030.904</v>
      </c>
      <c r="G19" s="28">
        <v>33.75</v>
      </c>
      <c r="H19" s="28" t="s">
        <v>20</v>
      </c>
      <c r="I19" s="28">
        <v>6.55</v>
      </c>
    </row>
    <row r="20" spans="1:36" x14ac:dyDescent="0.2">
      <c r="A20" s="1">
        <v>1994</v>
      </c>
      <c r="B20" s="30">
        <v>1641</v>
      </c>
      <c r="C20" s="30">
        <v>1618.5</v>
      </c>
      <c r="D20" s="26">
        <f t="shared" si="0"/>
        <v>2624.3157244362064</v>
      </c>
      <c r="E20" s="30">
        <v>4247.4549999999999</v>
      </c>
      <c r="F20" s="27">
        <v>1229.0119999999999</v>
      </c>
      <c r="G20" s="28">
        <v>33.92</v>
      </c>
      <c r="H20" s="28" t="s">
        <v>20</v>
      </c>
      <c r="I20" s="28">
        <v>6.6</v>
      </c>
    </row>
    <row r="21" spans="1:36" x14ac:dyDescent="0.2">
      <c r="A21" s="1">
        <v>1995</v>
      </c>
      <c r="B21" s="30">
        <v>1537.5</v>
      </c>
      <c r="C21" s="30">
        <v>1517</v>
      </c>
      <c r="D21" s="26">
        <f t="shared" si="0"/>
        <v>2281.7897165458139</v>
      </c>
      <c r="E21" s="30">
        <v>3461.4749999999999</v>
      </c>
      <c r="F21" s="27">
        <v>1013.323</v>
      </c>
      <c r="G21" s="28">
        <v>33.92</v>
      </c>
      <c r="H21" s="28" t="s">
        <v>20</v>
      </c>
      <c r="I21" s="28">
        <v>6.6</v>
      </c>
    </row>
    <row r="22" spans="1:36" x14ac:dyDescent="0.2">
      <c r="A22" s="1">
        <v>1996</v>
      </c>
      <c r="B22" s="30">
        <v>1401.5</v>
      </c>
      <c r="C22" s="30">
        <v>1380</v>
      </c>
      <c r="D22" s="26">
        <f t="shared" si="0"/>
        <v>2653.0471014492755</v>
      </c>
      <c r="E22" s="30">
        <v>3661.2049999999999</v>
      </c>
      <c r="F22" s="27">
        <v>1029.7739999999999</v>
      </c>
      <c r="G22" s="28">
        <v>30.5</v>
      </c>
      <c r="H22" s="28" t="s">
        <v>20</v>
      </c>
      <c r="I22" s="28">
        <v>6.6</v>
      </c>
    </row>
    <row r="23" spans="1:36" x14ac:dyDescent="0.2">
      <c r="A23" s="1">
        <v>1997</v>
      </c>
      <c r="B23" s="30">
        <v>1434</v>
      </c>
      <c r="C23" s="30">
        <v>1413.8</v>
      </c>
      <c r="D23" s="26">
        <f t="shared" si="0"/>
        <v>2503.4516904795587</v>
      </c>
      <c r="E23" s="30">
        <v>3539.38</v>
      </c>
      <c r="F23" s="27">
        <v>1002.703</v>
      </c>
      <c r="G23" s="28">
        <v>30.5</v>
      </c>
      <c r="H23" s="28" t="s">
        <v>20</v>
      </c>
      <c r="I23" s="28">
        <v>6.6</v>
      </c>
    </row>
    <row r="24" spans="1:36" x14ac:dyDescent="0.2">
      <c r="A24" s="1">
        <v>1998</v>
      </c>
      <c r="B24" s="30">
        <v>1521</v>
      </c>
      <c r="C24" s="30">
        <v>1467</v>
      </c>
      <c r="D24" s="26">
        <f t="shared" si="0"/>
        <v>2701.7314246762098</v>
      </c>
      <c r="E24" s="30">
        <v>3963.44</v>
      </c>
      <c r="F24" s="27">
        <v>1125.9190000000001</v>
      </c>
      <c r="G24" s="28">
        <v>30.5</v>
      </c>
      <c r="H24" s="28" t="s">
        <v>20</v>
      </c>
      <c r="I24" s="28">
        <v>6.6</v>
      </c>
    </row>
    <row r="25" spans="1:36" x14ac:dyDescent="0.2">
      <c r="A25" s="1">
        <v>1999</v>
      </c>
      <c r="B25" s="30">
        <v>1534.5</v>
      </c>
      <c r="C25" s="30">
        <v>1436</v>
      </c>
      <c r="D25" s="26">
        <f t="shared" si="0"/>
        <v>2666.7757660167131</v>
      </c>
      <c r="E25" s="30">
        <v>3829.49</v>
      </c>
      <c r="F25" s="27">
        <v>971.60799999999995</v>
      </c>
      <c r="G25" s="28">
        <v>30.5</v>
      </c>
      <c r="H25" s="28" t="s">
        <v>20</v>
      </c>
      <c r="I25" s="28">
        <v>6.6</v>
      </c>
    </row>
    <row r="26" spans="1:36" x14ac:dyDescent="0.2">
      <c r="A26" s="1">
        <v>2000</v>
      </c>
      <c r="B26" s="30">
        <v>1536.8</v>
      </c>
      <c r="C26" s="30">
        <v>1336</v>
      </c>
      <c r="D26" s="26">
        <f t="shared" si="0"/>
        <v>2444.2402694610778</v>
      </c>
      <c r="E26" s="30">
        <v>3265.5050000000001</v>
      </c>
      <c r="F26" s="27">
        <v>896.09699999999998</v>
      </c>
      <c r="G26" s="28">
        <v>30.5</v>
      </c>
      <c r="H26" s="28" t="s">
        <v>20</v>
      </c>
      <c r="I26" s="28">
        <v>6.6</v>
      </c>
    </row>
    <row r="27" spans="1:36" x14ac:dyDescent="0.2">
      <c r="A27" s="1">
        <v>2001</v>
      </c>
      <c r="B27" s="30">
        <v>1541.2</v>
      </c>
      <c r="C27" s="30">
        <v>1411.9</v>
      </c>
      <c r="D27" s="26">
        <f t="shared" si="0"/>
        <v>3029.0417168354697</v>
      </c>
      <c r="E27" s="30">
        <v>4276.7039999999997</v>
      </c>
      <c r="F27" s="27">
        <v>1000.5119999999999</v>
      </c>
      <c r="G27" s="28">
        <v>30.5</v>
      </c>
      <c r="H27" s="28" t="s">
        <v>20</v>
      </c>
      <c r="I27" s="28">
        <v>6.6</v>
      </c>
    </row>
    <row r="28" spans="1:36" x14ac:dyDescent="0.2">
      <c r="A28" s="1">
        <v>2002</v>
      </c>
      <c r="B28" s="30">
        <v>1353</v>
      </c>
      <c r="C28" s="30">
        <v>1291.7</v>
      </c>
      <c r="D28" s="26">
        <f t="shared" si="0"/>
        <v>2571.0613919640782</v>
      </c>
      <c r="E28" s="30">
        <v>3321.04</v>
      </c>
      <c r="F28" s="27">
        <v>599.71400000000006</v>
      </c>
      <c r="G28" s="28" t="s">
        <v>20</v>
      </c>
      <c r="H28" s="29">
        <v>17.75</v>
      </c>
      <c r="I28" s="28" t="s">
        <v>20</v>
      </c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</row>
    <row r="29" spans="1:36" x14ac:dyDescent="0.2">
      <c r="A29" s="1">
        <v>2003</v>
      </c>
      <c r="B29" s="30">
        <v>1344</v>
      </c>
      <c r="C29" s="30">
        <v>1312</v>
      </c>
      <c r="D29" s="26">
        <f t="shared" si="0"/>
        <v>3158.6509146341459</v>
      </c>
      <c r="E29" s="30">
        <v>4144.1499999999996</v>
      </c>
      <c r="F29" s="27">
        <v>799.428</v>
      </c>
      <c r="G29" s="28" t="s">
        <v>20</v>
      </c>
      <c r="H29" s="29">
        <v>17.75</v>
      </c>
      <c r="I29" s="28" t="s">
        <v>20</v>
      </c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</row>
    <row r="30" spans="1:36" x14ac:dyDescent="0.2">
      <c r="A30" s="1">
        <v>2004</v>
      </c>
      <c r="B30" s="30">
        <v>1430</v>
      </c>
      <c r="C30" s="30">
        <v>1394</v>
      </c>
      <c r="D30" s="26">
        <f t="shared" si="0"/>
        <v>3076.1836441893829</v>
      </c>
      <c r="E30" s="30">
        <v>4288.2</v>
      </c>
      <c r="F30" s="27">
        <v>813.55100000000004</v>
      </c>
      <c r="G30" s="28" t="s">
        <v>20</v>
      </c>
      <c r="H30" s="29">
        <v>17.75</v>
      </c>
      <c r="I30" s="28" t="s">
        <v>20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</row>
    <row r="31" spans="1:36" x14ac:dyDescent="0.2">
      <c r="A31" s="1">
        <v>2005</v>
      </c>
      <c r="B31" s="30">
        <v>1657</v>
      </c>
      <c r="C31" s="30">
        <v>1629</v>
      </c>
      <c r="D31" s="26">
        <f t="shared" si="0"/>
        <v>2989.4782074892573</v>
      </c>
      <c r="E31" s="30">
        <v>4869.8599999999997</v>
      </c>
      <c r="F31" s="27">
        <v>843.43499999999995</v>
      </c>
      <c r="G31" s="28" t="s">
        <v>20</v>
      </c>
      <c r="H31" s="29">
        <v>17.75</v>
      </c>
      <c r="I31" s="28" t="s">
        <v>20</v>
      </c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</row>
    <row r="32" spans="1:36" x14ac:dyDescent="0.2">
      <c r="A32" s="1">
        <v>2006</v>
      </c>
      <c r="B32" s="30">
        <v>1243</v>
      </c>
      <c r="C32" s="30">
        <v>1210</v>
      </c>
      <c r="D32" s="26">
        <f t="shared" si="0"/>
        <v>2863.0165289256197</v>
      </c>
      <c r="E32" s="30">
        <v>3464.25</v>
      </c>
      <c r="F32" s="27">
        <v>612.798</v>
      </c>
      <c r="G32" s="28" t="s">
        <v>20</v>
      </c>
      <c r="H32" s="29">
        <v>17.75</v>
      </c>
      <c r="I32" s="28" t="s">
        <v>20</v>
      </c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</row>
    <row r="33" spans="1:36" x14ac:dyDescent="0.2">
      <c r="A33" s="1">
        <v>2007</v>
      </c>
      <c r="B33" s="30">
        <v>1230</v>
      </c>
      <c r="C33" s="30">
        <v>1195</v>
      </c>
      <c r="D33" s="26">
        <f t="shared" si="0"/>
        <v>3073.0125523012553</v>
      </c>
      <c r="E33" s="30">
        <v>3672.25</v>
      </c>
      <c r="F33" s="27">
        <v>758.62599999999998</v>
      </c>
      <c r="G33" s="28" t="s">
        <v>20</v>
      </c>
      <c r="H33" s="29">
        <v>17.75</v>
      </c>
      <c r="I33" s="28" t="s">
        <v>20</v>
      </c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</row>
    <row r="34" spans="1:36" x14ac:dyDescent="0.2">
      <c r="A34" s="1">
        <v>2008</v>
      </c>
      <c r="B34" s="30">
        <v>1534</v>
      </c>
      <c r="C34" s="30">
        <v>1507</v>
      </c>
      <c r="D34" s="26">
        <f t="shared" si="0"/>
        <v>3425.6138022561381</v>
      </c>
      <c r="E34" s="30">
        <v>5162.3999999999996</v>
      </c>
      <c r="F34" s="27">
        <v>1193.617</v>
      </c>
      <c r="G34" s="28" t="s">
        <v>20</v>
      </c>
      <c r="H34" s="29">
        <v>17.75</v>
      </c>
      <c r="I34" s="28" t="s">
        <v>20</v>
      </c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</row>
    <row r="35" spans="1:36" x14ac:dyDescent="0.2">
      <c r="A35" s="1">
        <v>2009</v>
      </c>
      <c r="B35" s="30">
        <v>1116</v>
      </c>
      <c r="C35" s="30">
        <v>1079</v>
      </c>
      <c r="D35" s="26">
        <f t="shared" si="0"/>
        <v>3421.3623725671919</v>
      </c>
      <c r="E35" s="30">
        <v>3691.65</v>
      </c>
      <c r="F35" s="27">
        <v>793.14700000000005</v>
      </c>
      <c r="G35" s="28" t="s">
        <v>20</v>
      </c>
      <c r="H35" s="29">
        <v>17.75</v>
      </c>
      <c r="I35" s="28" t="s">
        <v>20</v>
      </c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</row>
    <row r="36" spans="1:36" x14ac:dyDescent="0.2">
      <c r="A36" s="1">
        <v>2010</v>
      </c>
      <c r="B36" s="30">
        <v>1288</v>
      </c>
      <c r="C36" s="30">
        <v>1255</v>
      </c>
      <c r="D36" s="26">
        <f t="shared" si="0"/>
        <v>3312.2231075697209</v>
      </c>
      <c r="E36" s="30">
        <v>4156.84</v>
      </c>
      <c r="F36" s="27">
        <v>938.61099999999999</v>
      </c>
      <c r="G36" s="28" t="s">
        <v>20</v>
      </c>
      <c r="H36" s="29">
        <v>17.75</v>
      </c>
      <c r="I36" s="28" t="s">
        <v>20</v>
      </c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</row>
    <row r="37" spans="1:36" x14ac:dyDescent="0.2">
      <c r="A37" s="1">
        <v>2011</v>
      </c>
      <c r="B37" s="30">
        <v>1140.5999999999999</v>
      </c>
      <c r="C37" s="30">
        <v>1080.5999999999999</v>
      </c>
      <c r="D37" s="26">
        <f t="shared" si="0"/>
        <v>3385.7023875624654</v>
      </c>
      <c r="E37" s="30">
        <v>3658.59</v>
      </c>
      <c r="F37" s="27">
        <v>1168.587</v>
      </c>
      <c r="G37" s="28" t="s">
        <v>20</v>
      </c>
      <c r="H37" s="29">
        <v>17.75</v>
      </c>
      <c r="I37" s="28" t="s">
        <v>20</v>
      </c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</row>
    <row r="38" spans="1:36" x14ac:dyDescent="0.2">
      <c r="A38" s="1">
        <v>2012</v>
      </c>
      <c r="B38" s="30">
        <v>1638</v>
      </c>
      <c r="C38" s="30">
        <v>1604</v>
      </c>
      <c r="D38" s="26">
        <f t="shared" si="0"/>
        <v>4210.6483790523689</v>
      </c>
      <c r="E38" s="30">
        <v>6753.88</v>
      </c>
      <c r="F38" s="27">
        <v>2026.326</v>
      </c>
      <c r="G38" s="28" t="s">
        <v>20</v>
      </c>
      <c r="H38" s="29">
        <v>17.75</v>
      </c>
      <c r="I38" s="28" t="s">
        <v>20</v>
      </c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</row>
    <row r="39" spans="1:36" x14ac:dyDescent="0.2">
      <c r="A39" s="1">
        <v>2013</v>
      </c>
      <c r="B39" s="30">
        <v>1067</v>
      </c>
      <c r="C39" s="30">
        <v>1043</v>
      </c>
      <c r="D39" s="26">
        <f t="shared" si="0"/>
        <v>4001.1217641418984</v>
      </c>
      <c r="E39" s="30">
        <v>4173.17</v>
      </c>
      <c r="F39" s="27">
        <v>1055.0953</v>
      </c>
      <c r="G39" s="28" t="s">
        <v>20</v>
      </c>
      <c r="H39" s="29">
        <v>17.75</v>
      </c>
      <c r="I39" s="28" t="s">
        <v>20</v>
      </c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</row>
    <row r="40" spans="1:36" x14ac:dyDescent="0.2">
      <c r="A40" s="1">
        <v>2014</v>
      </c>
      <c r="B40" s="30">
        <v>1353.5</v>
      </c>
      <c r="C40" s="30">
        <v>1322.5</v>
      </c>
      <c r="D40" s="26">
        <f t="shared" si="0"/>
        <v>3923.3761814744803</v>
      </c>
      <c r="E40" s="30">
        <v>5188.665</v>
      </c>
      <c r="F40" s="27">
        <v>1158.251</v>
      </c>
      <c r="G40" s="28" t="s">
        <v>20</v>
      </c>
      <c r="H40" s="29">
        <v>17.75</v>
      </c>
      <c r="I40" s="28" t="s">
        <v>20</v>
      </c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</row>
    <row r="41" spans="1:36" x14ac:dyDescent="0.2">
      <c r="A41" s="1">
        <v>2015</v>
      </c>
      <c r="B41" s="30">
        <v>1625</v>
      </c>
      <c r="C41" s="30">
        <v>1560.9</v>
      </c>
      <c r="D41" s="26">
        <f t="shared" si="0"/>
        <v>3844.8055608943555</v>
      </c>
      <c r="E41" s="30">
        <v>6001.357</v>
      </c>
      <c r="F41" s="27">
        <v>1160.56</v>
      </c>
      <c r="G41" s="28" t="s">
        <v>20</v>
      </c>
      <c r="H41" s="29">
        <v>17.75</v>
      </c>
      <c r="I41" s="28" t="s">
        <v>20</v>
      </c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</row>
    <row r="42" spans="1:36" x14ac:dyDescent="0.2">
      <c r="A42" s="1">
        <v>2016</v>
      </c>
      <c r="B42" s="30">
        <v>1671</v>
      </c>
      <c r="C42" s="30">
        <v>1536</v>
      </c>
      <c r="D42" s="26">
        <f t="shared" si="0"/>
        <v>3633.8346354166665</v>
      </c>
      <c r="E42" s="30">
        <v>5581.57</v>
      </c>
      <c r="F42" s="27">
        <v>1088.165</v>
      </c>
      <c r="G42" s="28" t="s">
        <v>20</v>
      </c>
      <c r="H42" s="29">
        <v>17.75</v>
      </c>
      <c r="I42" s="28" t="s">
        <v>20</v>
      </c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</row>
    <row r="43" spans="1:36" x14ac:dyDescent="0.2">
      <c r="A43" s="1">
        <v>2017</v>
      </c>
      <c r="B43" s="30">
        <v>1871.6</v>
      </c>
      <c r="C43" s="30">
        <v>1775.6</v>
      </c>
      <c r="D43" s="26">
        <v>4007</v>
      </c>
      <c r="E43" s="30">
        <v>7115.41</v>
      </c>
      <c r="F43" s="27">
        <v>1634.0170000000001</v>
      </c>
      <c r="G43" s="28" t="s">
        <v>20</v>
      </c>
      <c r="H43" s="29">
        <v>17.75</v>
      </c>
      <c r="I43" s="28" t="s">
        <v>20</v>
      </c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</row>
    <row r="44" spans="1:36" x14ac:dyDescent="0.2">
      <c r="A44" s="1">
        <v>2018</v>
      </c>
      <c r="B44" s="30">
        <v>1419.6</v>
      </c>
      <c r="C44" s="30">
        <v>1368.6</v>
      </c>
      <c r="D44" s="26">
        <v>4013</v>
      </c>
      <c r="E44" s="30">
        <v>5491.57</v>
      </c>
      <c r="F44" s="27">
        <v>1175.1369999999999</v>
      </c>
      <c r="G44" s="28" t="s">
        <v>20</v>
      </c>
      <c r="H44" s="29">
        <v>17.75</v>
      </c>
      <c r="I44" s="28" t="s">
        <v>20</v>
      </c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</row>
    <row r="45" spans="1:36" ht="11.4" customHeight="1" x14ac:dyDescent="0.2">
      <c r="A45" s="1">
        <v>2019</v>
      </c>
      <c r="B45" s="30">
        <v>1429.4</v>
      </c>
      <c r="C45" s="30">
        <v>1386.4</v>
      </c>
      <c r="D45" s="26">
        <v>3942</v>
      </c>
      <c r="E45" s="30">
        <v>5464.84</v>
      </c>
      <c r="F45" s="27">
        <v>1130.914</v>
      </c>
      <c r="G45" s="28" t="s">
        <v>20</v>
      </c>
      <c r="H45" s="29">
        <v>17.75</v>
      </c>
      <c r="I45" s="28" t="s">
        <v>20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</row>
    <row r="46" spans="1:36" ht="11.4" customHeight="1" x14ac:dyDescent="0.2">
      <c r="A46" s="1">
        <v>2020</v>
      </c>
      <c r="B46" s="30">
        <v>1658.5</v>
      </c>
      <c r="C46" s="30">
        <v>1611.2</v>
      </c>
      <c r="D46" s="26">
        <v>3825</v>
      </c>
      <c r="E46" s="30">
        <v>6162.75</v>
      </c>
      <c r="F46" s="27">
        <v>1295.6469999999999</v>
      </c>
      <c r="G46" s="28" t="s">
        <v>20</v>
      </c>
      <c r="H46" s="29">
        <v>17.75</v>
      </c>
      <c r="I46" s="28" t="s">
        <v>20</v>
      </c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</row>
    <row r="47" spans="1:36" ht="11.4" customHeight="1" x14ac:dyDescent="0.2">
      <c r="A47" s="1">
        <v>2021</v>
      </c>
      <c r="B47" s="30">
        <v>1578.3</v>
      </c>
      <c r="C47" s="30">
        <v>1538</v>
      </c>
      <c r="D47" s="26">
        <v>4135</v>
      </c>
      <c r="E47" s="30">
        <v>6359.19</v>
      </c>
      <c r="F47" s="27">
        <v>1561.9929999999999</v>
      </c>
      <c r="G47" s="28" t="s">
        <v>20</v>
      </c>
      <c r="H47" s="29">
        <v>17.75</v>
      </c>
      <c r="I47" s="28" t="s">
        <v>20</v>
      </c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</row>
    <row r="48" spans="1:36" ht="11.4" customHeight="1" x14ac:dyDescent="0.2">
      <c r="A48" s="1">
        <v>2022</v>
      </c>
      <c r="B48" s="30">
        <v>1448.5</v>
      </c>
      <c r="C48" s="30">
        <v>1381.4</v>
      </c>
      <c r="D48" s="26">
        <v>4012</v>
      </c>
      <c r="E48" s="30">
        <v>5541.7719999999999</v>
      </c>
      <c r="F48" s="27">
        <v>1501.2339999999999</v>
      </c>
      <c r="G48" s="28" t="s">
        <v>20</v>
      </c>
      <c r="H48" s="29">
        <v>17.75</v>
      </c>
      <c r="I48" s="28" t="s">
        <v>20</v>
      </c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1:36" ht="11.4" customHeight="1" x14ac:dyDescent="0.2">
      <c r="A49" s="1">
        <v>2023</v>
      </c>
      <c r="B49" s="30">
        <v>1645</v>
      </c>
      <c r="C49" s="30">
        <v>1557</v>
      </c>
      <c r="D49" s="26">
        <v>3775</v>
      </c>
      <c r="E49" s="30">
        <v>5877.56</v>
      </c>
      <c r="F49" s="27">
        <v>1610.05</v>
      </c>
      <c r="G49" s="28" t="s">
        <v>20</v>
      </c>
      <c r="H49" s="29">
        <v>17.75</v>
      </c>
      <c r="I49" s="28" t="s">
        <v>20</v>
      </c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</row>
    <row r="50" spans="1:36" ht="11.4" customHeight="1" x14ac:dyDescent="0.2">
      <c r="A50" s="2" t="s">
        <v>175</v>
      </c>
      <c r="B50" s="30">
        <v>1801</v>
      </c>
      <c r="C50" s="30">
        <v>1758</v>
      </c>
      <c r="D50" s="26">
        <v>3668</v>
      </c>
      <c r="E50" s="30">
        <v>6448.02</v>
      </c>
      <c r="F50" s="27">
        <v>1684.567</v>
      </c>
      <c r="G50" s="28" t="s">
        <v>20</v>
      </c>
      <c r="H50" s="29">
        <v>17.75</v>
      </c>
      <c r="I50" s="28" t="s">
        <v>20</v>
      </c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</row>
    <row r="51" spans="1:36" ht="11.4" customHeight="1" x14ac:dyDescent="0.2">
      <c r="A51" s="93" t="s">
        <v>21</v>
      </c>
      <c r="B51" s="92"/>
      <c r="C51" s="92"/>
      <c r="D51" s="73"/>
      <c r="E51" s="92"/>
      <c r="F51" s="74"/>
      <c r="G51" s="75"/>
      <c r="H51" s="76"/>
      <c r="I51" s="75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 x14ac:dyDescent="0.2">
      <c r="A52" t="s">
        <v>22</v>
      </c>
    </row>
    <row r="53" spans="1:36" x14ac:dyDescent="0.2">
      <c r="A53" s="2" t="s">
        <v>23</v>
      </c>
    </row>
    <row r="54" spans="1:36" x14ac:dyDescent="0.2">
      <c r="A54" t="s">
        <v>24</v>
      </c>
    </row>
    <row r="55" spans="1:36" x14ac:dyDescent="0.2">
      <c r="A55" t="s">
        <v>25</v>
      </c>
    </row>
    <row r="56" spans="1:36" ht="10.35" customHeight="1" x14ac:dyDescent="0.2">
      <c r="I56" s="32" t="s">
        <v>191</v>
      </c>
    </row>
  </sheetData>
  <pageMargins left="0.75" right="0.75" top="1" bottom="1" header="0.5" footer="0.5"/>
  <pageSetup scale="98" firstPageNumber="1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46BF-DB2A-4934-8269-C0E49BDEC4D0}">
  <sheetPr>
    <pageSetUpPr fitToPage="1"/>
  </sheetPr>
  <dimension ref="A1:AI63"/>
  <sheetViews>
    <sheetView zoomScaleNormal="100" zoomScaleSheetLayoutView="100" workbookViewId="0">
      <pane ySplit="7" topLeftCell="A8" activePane="bottomLeft" state="frozen"/>
      <selection activeCell="S24" sqref="S24"/>
      <selection pane="bottomLeft"/>
    </sheetView>
  </sheetViews>
  <sheetFormatPr defaultRowHeight="10.199999999999999" x14ac:dyDescent="0.2"/>
  <cols>
    <col min="1" max="1" width="10.7109375" customWidth="1"/>
    <col min="2" max="2" width="13.7109375" customWidth="1"/>
    <col min="3" max="3" width="11" customWidth="1"/>
    <col min="4" max="4" width="8.140625" customWidth="1"/>
    <col min="5" max="5" width="9" customWidth="1"/>
    <col min="6" max="6" width="8.7109375" customWidth="1"/>
    <col min="7" max="7" width="10.7109375" customWidth="1"/>
    <col min="8" max="8" width="9.140625" customWidth="1"/>
    <col min="9" max="9" width="10.140625" customWidth="1"/>
    <col min="10" max="10" width="8" customWidth="1"/>
    <col min="11" max="11" width="13.85546875" customWidth="1"/>
    <col min="12" max="12" width="12.85546875" customWidth="1"/>
    <col min="14" max="14" width="15.42578125" customWidth="1"/>
    <col min="18" max="18" width="9" customWidth="1"/>
  </cols>
  <sheetData>
    <row r="1" spans="1:12" x14ac:dyDescent="0.2">
      <c r="A1" s="14" t="s">
        <v>176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">
      <c r="B2" s="33"/>
      <c r="C2" s="34" t="s">
        <v>26</v>
      </c>
      <c r="D2" s="35"/>
      <c r="E2" s="36"/>
      <c r="G2" s="18"/>
      <c r="H2" s="37" t="s">
        <v>27</v>
      </c>
      <c r="I2" s="18"/>
      <c r="J2" s="36"/>
      <c r="K2" s="20" t="s">
        <v>28</v>
      </c>
      <c r="L2" s="38" t="s">
        <v>29</v>
      </c>
    </row>
    <row r="3" spans="1:12" x14ac:dyDescent="0.2">
      <c r="A3" s="39" t="s">
        <v>30</v>
      </c>
      <c r="B3" s="38" t="s">
        <v>31</v>
      </c>
      <c r="C3" s="39"/>
      <c r="D3" s="39"/>
      <c r="E3" s="40"/>
      <c r="F3" s="38"/>
      <c r="G3" s="39"/>
      <c r="H3" s="39"/>
      <c r="I3" s="39" t="s">
        <v>32</v>
      </c>
      <c r="J3" s="40"/>
      <c r="K3" s="39" t="s">
        <v>33</v>
      </c>
      <c r="L3" s="41" t="s">
        <v>34</v>
      </c>
    </row>
    <row r="4" spans="1:12" x14ac:dyDescent="0.2">
      <c r="A4" s="39" t="s">
        <v>35</v>
      </c>
      <c r="B4" s="41" t="s">
        <v>36</v>
      </c>
      <c r="C4" s="39" t="s">
        <v>37</v>
      </c>
      <c r="D4" s="39" t="s">
        <v>38</v>
      </c>
      <c r="E4" s="42" t="s">
        <v>39</v>
      </c>
      <c r="F4" s="41" t="s">
        <v>40</v>
      </c>
      <c r="G4" s="39" t="s">
        <v>41</v>
      </c>
      <c r="H4" s="39" t="s">
        <v>42</v>
      </c>
      <c r="I4" s="39" t="s">
        <v>43</v>
      </c>
      <c r="J4" s="42" t="s">
        <v>39</v>
      </c>
      <c r="K4" s="39" t="s">
        <v>44</v>
      </c>
      <c r="L4" s="41" t="s">
        <v>45</v>
      </c>
    </row>
    <row r="5" spans="1:12" x14ac:dyDescent="0.2">
      <c r="A5" s="39" t="s">
        <v>46</v>
      </c>
      <c r="B5" s="43"/>
      <c r="C5" s="39"/>
      <c r="D5" s="39"/>
      <c r="E5" s="42"/>
      <c r="F5" s="41"/>
      <c r="G5" s="39"/>
      <c r="H5" s="39"/>
      <c r="I5" s="39" t="s">
        <v>47</v>
      </c>
      <c r="J5" s="42"/>
      <c r="K5" s="39" t="s">
        <v>48</v>
      </c>
      <c r="L5" s="41"/>
    </row>
    <row r="6" spans="1:12" x14ac:dyDescent="0.2">
      <c r="A6" s="20" t="s">
        <v>49</v>
      </c>
      <c r="B6" s="44"/>
      <c r="C6" s="20"/>
      <c r="D6" s="20" t="s">
        <v>50</v>
      </c>
      <c r="E6" s="45" t="s">
        <v>50</v>
      </c>
      <c r="F6" s="44"/>
      <c r="G6" s="20"/>
      <c r="H6" s="20"/>
      <c r="I6" s="20" t="s">
        <v>51</v>
      </c>
      <c r="J6" s="45"/>
      <c r="K6" s="20" t="s">
        <v>52</v>
      </c>
      <c r="L6" s="44"/>
    </row>
    <row r="7" spans="1:12" x14ac:dyDescent="0.2">
      <c r="A7" s="24"/>
      <c r="B7" s="24"/>
      <c r="C7" s="25"/>
      <c r="D7" s="25"/>
      <c r="E7" s="25"/>
      <c r="F7" s="25" t="s">
        <v>53</v>
      </c>
      <c r="G7" s="25"/>
      <c r="H7" s="25"/>
      <c r="I7" s="25"/>
      <c r="J7" s="25"/>
      <c r="K7" s="23" t="s">
        <v>54</v>
      </c>
      <c r="L7" s="46" t="s">
        <v>16</v>
      </c>
    </row>
    <row r="8" spans="1:12" x14ac:dyDescent="0.2">
      <c r="B8" s="47"/>
      <c r="C8" s="47"/>
      <c r="D8" s="47"/>
      <c r="E8" s="47"/>
      <c r="F8" s="47"/>
      <c r="G8" s="47"/>
      <c r="H8" s="47"/>
      <c r="I8" s="47"/>
      <c r="J8" s="47"/>
      <c r="K8" s="48"/>
      <c r="L8" s="48"/>
    </row>
    <row r="9" spans="1:12" x14ac:dyDescent="0.2">
      <c r="A9" s="1" t="s">
        <v>55</v>
      </c>
      <c r="B9" s="49">
        <v>628</v>
      </c>
      <c r="C9" s="49">
        <v>2302.7620000000002</v>
      </c>
      <c r="D9" s="49">
        <v>401</v>
      </c>
      <c r="E9" s="49">
        <v>3331.7620000000002</v>
      </c>
      <c r="F9" s="50">
        <v>446</v>
      </c>
      <c r="G9" s="49">
        <v>503</v>
      </c>
      <c r="H9" s="49">
        <v>1465</v>
      </c>
      <c r="I9" s="27">
        <v>504.76200000000023</v>
      </c>
      <c r="J9" s="49">
        <v>2918.7620000000002</v>
      </c>
      <c r="K9" s="51">
        <v>25.2</v>
      </c>
      <c r="L9" s="51">
        <v>4.789984171573189</v>
      </c>
    </row>
    <row r="10" spans="1:12" x14ac:dyDescent="0.2">
      <c r="A10" s="1" t="s">
        <v>56</v>
      </c>
      <c r="B10" s="49">
        <v>413</v>
      </c>
      <c r="C10" s="49">
        <v>3981.85</v>
      </c>
      <c r="D10" s="49">
        <v>2</v>
      </c>
      <c r="E10" s="49">
        <v>4396.8500000000004</v>
      </c>
      <c r="F10" s="50">
        <v>573</v>
      </c>
      <c r="G10" s="49">
        <v>576</v>
      </c>
      <c r="H10" s="49">
        <v>1696</v>
      </c>
      <c r="I10" s="27">
        <v>794.85000000000036</v>
      </c>
      <c r="J10" s="49">
        <v>3639.85</v>
      </c>
      <c r="K10" s="51">
        <v>26.8</v>
      </c>
      <c r="L10" s="51">
        <v>5.4921977018622847</v>
      </c>
    </row>
    <row r="11" spans="1:12" x14ac:dyDescent="0.2">
      <c r="A11" s="1" t="s">
        <v>57</v>
      </c>
      <c r="B11" s="49">
        <v>757</v>
      </c>
      <c r="C11" s="49">
        <v>3440.0382</v>
      </c>
      <c r="D11" s="49">
        <v>2</v>
      </c>
      <c r="E11" s="49">
        <v>4199.0382</v>
      </c>
      <c r="F11" s="50">
        <v>342</v>
      </c>
      <c r="G11" s="49">
        <v>681</v>
      </c>
      <c r="H11" s="49">
        <v>1849</v>
      </c>
      <c r="I11" s="27">
        <v>463.03820000000019</v>
      </c>
      <c r="J11" s="49">
        <v>3335.0382</v>
      </c>
      <c r="K11" s="51">
        <v>25.1</v>
      </c>
      <c r="L11" s="51">
        <v>5.9335107359148473</v>
      </c>
    </row>
    <row r="12" spans="1:12" x14ac:dyDescent="0.2">
      <c r="A12" s="1" t="s">
        <v>58</v>
      </c>
      <c r="B12" s="49">
        <v>864</v>
      </c>
      <c r="C12" s="49">
        <v>3295.5758999999998</v>
      </c>
      <c r="D12" s="49">
        <v>2</v>
      </c>
      <c r="E12" s="49">
        <v>4161.5758999999998</v>
      </c>
      <c r="F12" s="50">
        <v>387</v>
      </c>
      <c r="G12" s="49">
        <v>744</v>
      </c>
      <c r="H12" s="49">
        <v>1856</v>
      </c>
      <c r="I12" s="27">
        <v>564</v>
      </c>
      <c r="J12" s="49">
        <v>3551</v>
      </c>
      <c r="K12" s="51">
        <v>24.7</v>
      </c>
      <c r="L12" s="51">
        <v>5.9045407619273274</v>
      </c>
    </row>
    <row r="13" spans="1:12" x14ac:dyDescent="0.2">
      <c r="A13" s="1" t="s">
        <v>59</v>
      </c>
      <c r="B13" s="49">
        <v>611</v>
      </c>
      <c r="C13" s="49">
        <v>4405.9452160000001</v>
      </c>
      <c r="D13" s="49">
        <v>2</v>
      </c>
      <c r="E13" s="49">
        <v>5019</v>
      </c>
      <c r="F13" s="50">
        <v>625</v>
      </c>
      <c r="G13" s="49">
        <v>860</v>
      </c>
      <c r="H13" s="49">
        <v>1911</v>
      </c>
      <c r="I13" s="27">
        <v>199</v>
      </c>
      <c r="J13" s="49">
        <v>3595</v>
      </c>
      <c r="K13" s="51">
        <v>27.9</v>
      </c>
      <c r="L13" s="51">
        <v>6.0255168451687036</v>
      </c>
    </row>
    <row r="14" spans="1:12" x14ac:dyDescent="0.2">
      <c r="A14" s="1" t="s">
        <v>60</v>
      </c>
      <c r="B14" s="49">
        <v>1424</v>
      </c>
      <c r="C14" s="49">
        <v>4122.7870000000003</v>
      </c>
      <c r="D14" s="49">
        <v>2</v>
      </c>
      <c r="E14" s="49">
        <v>5549</v>
      </c>
      <c r="F14" s="50">
        <v>812</v>
      </c>
      <c r="G14" s="49">
        <v>1045.740514120344</v>
      </c>
      <c r="H14" s="49">
        <v>2023</v>
      </c>
      <c r="I14" s="27">
        <v>823.25948587965604</v>
      </c>
      <c r="J14" s="49">
        <v>4704</v>
      </c>
      <c r="K14" s="51">
        <v>24.4</v>
      </c>
      <c r="L14" s="51">
        <v>6.3207453947833168</v>
      </c>
    </row>
    <row r="15" spans="1:12" x14ac:dyDescent="0.2">
      <c r="A15" s="1" t="s">
        <v>61</v>
      </c>
      <c r="B15" s="49">
        <v>845</v>
      </c>
      <c r="C15" s="49">
        <v>3697.085</v>
      </c>
      <c r="D15" s="49">
        <v>2</v>
      </c>
      <c r="E15" s="49">
        <v>4544.085</v>
      </c>
      <c r="F15" s="50">
        <v>514</v>
      </c>
      <c r="G15" s="49">
        <v>664.79478687921608</v>
      </c>
      <c r="H15" s="49">
        <v>2073</v>
      </c>
      <c r="I15" s="27">
        <v>289.29021312078368</v>
      </c>
      <c r="J15" s="49">
        <v>3541.085</v>
      </c>
      <c r="K15" s="51">
        <v>29.2</v>
      </c>
      <c r="L15" s="51">
        <v>6.4195346864137326</v>
      </c>
    </row>
    <row r="16" spans="1:12" x14ac:dyDescent="0.2">
      <c r="A16" s="1" t="s">
        <v>62</v>
      </c>
      <c r="B16" s="49">
        <v>1003</v>
      </c>
      <c r="C16" s="49">
        <v>3616.01</v>
      </c>
      <c r="D16" s="49">
        <v>2.298780512</v>
      </c>
      <c r="E16" s="49">
        <v>4621.3087805120003</v>
      </c>
      <c r="F16" s="50">
        <v>560</v>
      </c>
      <c r="G16" s="49">
        <v>619.60251828358798</v>
      </c>
      <c r="H16" s="49">
        <v>2071.14</v>
      </c>
      <c r="I16" s="27">
        <v>537.8082622284129</v>
      </c>
      <c r="J16" s="49">
        <v>3788.050780512001</v>
      </c>
      <c r="K16" s="51">
        <v>28</v>
      </c>
      <c r="L16" s="51">
        <v>6.3557416139841081</v>
      </c>
    </row>
    <row r="17" spans="1:35" x14ac:dyDescent="0.2">
      <c r="A17" s="1" t="s">
        <v>63</v>
      </c>
      <c r="B17" s="49">
        <v>833.25800000000004</v>
      </c>
      <c r="C17" s="49">
        <v>3980.9169999999999</v>
      </c>
      <c r="D17" s="49">
        <v>2.571467486</v>
      </c>
      <c r="E17" s="49">
        <v>4816.7464674860003</v>
      </c>
      <c r="F17" s="50">
        <v>814.22600000000011</v>
      </c>
      <c r="G17" s="49">
        <v>689.40103378721403</v>
      </c>
      <c r="H17" s="49">
        <v>2254.6909999999998</v>
      </c>
      <c r="I17" s="27">
        <v>215.67743369878579</v>
      </c>
      <c r="J17" s="49">
        <v>3973.9954674860001</v>
      </c>
      <c r="K17" s="51">
        <v>27.9</v>
      </c>
      <c r="L17" s="51">
        <v>6.8540812433796114</v>
      </c>
    </row>
    <row r="18" spans="1:35" x14ac:dyDescent="0.2">
      <c r="A18" s="1" t="s">
        <v>64</v>
      </c>
      <c r="B18" s="49">
        <v>842.75099999999998</v>
      </c>
      <c r="C18" s="49">
        <v>3989.9949999999999</v>
      </c>
      <c r="D18" s="49">
        <v>4.1988000000000003</v>
      </c>
      <c r="E18" s="49">
        <v>4836.9448000000002</v>
      </c>
      <c r="F18" s="50">
        <v>624</v>
      </c>
      <c r="G18" s="49">
        <v>990.45650000000001</v>
      </c>
      <c r="H18" s="49">
        <v>2312.4380000000001</v>
      </c>
      <c r="I18" s="27">
        <v>209.05029999999999</v>
      </c>
      <c r="J18" s="49">
        <v>4135.9448000000002</v>
      </c>
      <c r="K18" s="51">
        <v>28</v>
      </c>
      <c r="L18" s="51">
        <v>6.9512182855452318</v>
      </c>
    </row>
    <row r="19" spans="1:35" x14ac:dyDescent="0.2">
      <c r="A19" s="1" t="s">
        <v>65</v>
      </c>
      <c r="B19" s="49">
        <v>701</v>
      </c>
      <c r="C19" s="49">
        <v>3603.65</v>
      </c>
      <c r="D19" s="49">
        <v>27.371300000000002</v>
      </c>
      <c r="E19" s="49">
        <v>4332.0213000000003</v>
      </c>
      <c r="F19" s="50">
        <v>689</v>
      </c>
      <c r="G19" s="49">
        <v>654.87940000000003</v>
      </c>
      <c r="H19" s="49">
        <v>2019.9680000000001</v>
      </c>
      <c r="I19" s="27">
        <v>284.71390000000002</v>
      </c>
      <c r="J19" s="49">
        <v>3648.5612999999998</v>
      </c>
      <c r="K19" s="51">
        <v>34.700000000000003</v>
      </c>
      <c r="L19" s="51">
        <v>5.9915419329133348</v>
      </c>
    </row>
    <row r="20" spans="1:35" x14ac:dyDescent="0.2">
      <c r="A20" s="1" t="s">
        <v>66</v>
      </c>
      <c r="B20" s="49">
        <v>683.46</v>
      </c>
      <c r="C20" s="49">
        <v>4926.57</v>
      </c>
      <c r="D20" s="49">
        <v>5.3041999999999998</v>
      </c>
      <c r="E20" s="49">
        <v>5615.3342000000002</v>
      </c>
      <c r="F20" s="50">
        <v>1103</v>
      </c>
      <c r="G20" s="49">
        <v>1001.7737</v>
      </c>
      <c r="H20" s="49">
        <v>2207.2049999999999</v>
      </c>
      <c r="I20" s="27">
        <v>248.35550000000001</v>
      </c>
      <c r="J20" s="49">
        <v>4560.3342000000002</v>
      </c>
      <c r="K20" s="51">
        <v>28.3</v>
      </c>
      <c r="L20" s="51">
        <v>6.4602421212640238</v>
      </c>
    </row>
    <row r="21" spans="1:35" x14ac:dyDescent="0.2">
      <c r="A21" s="1" t="s">
        <v>67</v>
      </c>
      <c r="B21" s="49">
        <v>1055</v>
      </c>
      <c r="C21" s="49">
        <v>4284.4160000000002</v>
      </c>
      <c r="D21" s="49">
        <v>1.8912</v>
      </c>
      <c r="E21" s="49">
        <v>5341.3072000000002</v>
      </c>
      <c r="F21" s="50">
        <v>891.32</v>
      </c>
      <c r="G21" s="49">
        <v>951.04480000000001</v>
      </c>
      <c r="H21" s="49">
        <v>2121.8910000000001</v>
      </c>
      <c r="I21" s="27">
        <v>26.955400000000001</v>
      </c>
      <c r="J21" s="49">
        <v>3991.2112000000002</v>
      </c>
      <c r="K21" s="51">
        <v>30</v>
      </c>
      <c r="L21" s="51">
        <v>6.1303331075291547</v>
      </c>
    </row>
    <row r="22" spans="1:35" x14ac:dyDescent="0.2">
      <c r="A22" s="1" t="s">
        <v>68</v>
      </c>
      <c r="B22" s="49">
        <v>1350.096</v>
      </c>
      <c r="C22" s="49">
        <v>3392.415</v>
      </c>
      <c r="D22" s="49">
        <v>1.8886000000000001</v>
      </c>
      <c r="E22" s="49">
        <v>4744.3995999999997</v>
      </c>
      <c r="F22" s="50">
        <v>669.9</v>
      </c>
      <c r="G22" s="49">
        <v>532.55050000000006</v>
      </c>
      <c r="H22" s="49">
        <v>2088.0729999999999</v>
      </c>
      <c r="I22" s="27">
        <v>392.91109999999998</v>
      </c>
      <c r="J22" s="49">
        <v>3683.4346</v>
      </c>
      <c r="K22" s="51">
        <v>30.4</v>
      </c>
      <c r="L22" s="51">
        <v>5.9597856356002969</v>
      </c>
    </row>
    <row r="23" spans="1:35" x14ac:dyDescent="0.2">
      <c r="A23" s="1" t="s">
        <v>69</v>
      </c>
      <c r="B23" s="49">
        <v>1060.9649999999999</v>
      </c>
      <c r="C23" s="49">
        <v>4247.4549999999999</v>
      </c>
      <c r="D23" s="49">
        <v>73.662099999999995</v>
      </c>
      <c r="E23" s="49">
        <v>5382.0820000000003</v>
      </c>
      <c r="F23" s="50">
        <v>981.83399999999995</v>
      </c>
      <c r="G23" s="49">
        <v>878.07830000000001</v>
      </c>
      <c r="H23" s="49">
        <v>2009.231</v>
      </c>
      <c r="I23" s="27">
        <v>315.11169999999998</v>
      </c>
      <c r="J23" s="49">
        <v>4184.2550000000001</v>
      </c>
      <c r="K23" s="51">
        <v>28.9</v>
      </c>
      <c r="L23" s="51">
        <v>5.6676087624785696</v>
      </c>
    </row>
    <row r="24" spans="1:35" x14ac:dyDescent="0.2">
      <c r="A24" s="1" t="s">
        <v>70</v>
      </c>
      <c r="B24" s="49">
        <v>1197.827</v>
      </c>
      <c r="C24" s="49">
        <v>3461.4749999999999</v>
      </c>
      <c r="D24" s="49">
        <v>152.66800000000001</v>
      </c>
      <c r="E24" s="49">
        <v>4811.97</v>
      </c>
      <c r="F24" s="50">
        <v>999.20399999999995</v>
      </c>
      <c r="G24" s="49">
        <v>826.01229999999998</v>
      </c>
      <c r="H24" s="49">
        <v>1992.854</v>
      </c>
      <c r="I24" s="27">
        <v>236.3578</v>
      </c>
      <c r="J24" s="49">
        <v>4054.4279999999999</v>
      </c>
      <c r="K24" s="51">
        <v>29.3</v>
      </c>
      <c r="L24" s="51">
        <v>5.5565824613319403</v>
      </c>
    </row>
    <row r="25" spans="1:35" x14ac:dyDescent="0.2">
      <c r="A25" s="1" t="s">
        <v>71</v>
      </c>
      <c r="B25" s="49">
        <v>757.54200000000003</v>
      </c>
      <c r="C25" s="49">
        <v>3661.2049999999999</v>
      </c>
      <c r="D25" s="49">
        <v>126.7424</v>
      </c>
      <c r="E25" s="49">
        <v>4545.4894000000004</v>
      </c>
      <c r="F25" s="50">
        <v>692.14930000000004</v>
      </c>
      <c r="G25" s="49">
        <v>668.48</v>
      </c>
      <c r="H25" s="49">
        <v>2029.4690000000001</v>
      </c>
      <c r="I25" s="27">
        <v>360.76710000000003</v>
      </c>
      <c r="J25" s="49">
        <v>3750.8654000000001</v>
      </c>
      <c r="K25" s="51">
        <v>28.1</v>
      </c>
      <c r="L25" s="51">
        <v>5.5913911484287979</v>
      </c>
    </row>
    <row r="26" spans="1:35" x14ac:dyDescent="0.2">
      <c r="A26" s="1" t="s">
        <v>72</v>
      </c>
      <c r="B26" s="49">
        <v>794.62400000000002</v>
      </c>
      <c r="C26" s="49">
        <v>3539.38</v>
      </c>
      <c r="D26" s="49">
        <v>141.29300000000001</v>
      </c>
      <c r="E26" s="49">
        <v>4475.2969999999996</v>
      </c>
      <c r="F26" s="50">
        <v>544.30119999999999</v>
      </c>
      <c r="G26" s="49">
        <v>681.8954</v>
      </c>
      <c r="H26" s="49">
        <v>2098.5039999999999</v>
      </c>
      <c r="I26" s="27">
        <v>302.1114</v>
      </c>
      <c r="J26" s="49">
        <v>3626.8119999999999</v>
      </c>
      <c r="K26" s="51">
        <v>28.3</v>
      </c>
      <c r="L26" s="51">
        <v>5.7145216942216104</v>
      </c>
    </row>
    <row r="27" spans="1:35" x14ac:dyDescent="0.2">
      <c r="A27" s="1" t="s">
        <v>73</v>
      </c>
      <c r="B27" s="49">
        <v>848.48500000000001</v>
      </c>
      <c r="C27" s="49">
        <v>3963.44</v>
      </c>
      <c r="D27" s="49">
        <v>155.48689999999999</v>
      </c>
      <c r="E27" s="49">
        <v>4967.4119000000001</v>
      </c>
      <c r="F27" s="50">
        <v>459.9</v>
      </c>
      <c r="G27" s="49">
        <v>562.11739999999998</v>
      </c>
      <c r="H27" s="49">
        <v>2152.8000000000002</v>
      </c>
      <c r="I27" s="27">
        <v>400.86950000000002</v>
      </c>
      <c r="J27" s="49">
        <v>3575.6869000000002</v>
      </c>
      <c r="K27" s="51">
        <v>28.4</v>
      </c>
      <c r="L27" s="51">
        <v>5.7956294240856447</v>
      </c>
    </row>
    <row r="28" spans="1:35" x14ac:dyDescent="0.2">
      <c r="A28" s="1" t="s">
        <v>74</v>
      </c>
      <c r="B28" s="49">
        <v>1391.7249999999999</v>
      </c>
      <c r="C28" s="49">
        <v>3829.49</v>
      </c>
      <c r="D28" s="49">
        <v>182.06479999999999</v>
      </c>
      <c r="E28" s="49">
        <v>5403.2798000000003</v>
      </c>
      <c r="F28" s="50">
        <v>713.09799999999996</v>
      </c>
      <c r="G28" s="49">
        <v>742.59929999999997</v>
      </c>
      <c r="H28" s="49">
        <v>2233.3944000000001</v>
      </c>
      <c r="I28" s="27">
        <v>480.77210000000002</v>
      </c>
      <c r="J28" s="49">
        <v>4169.8638000000001</v>
      </c>
      <c r="K28" s="51">
        <v>25.4</v>
      </c>
      <c r="L28" s="51">
        <v>5.946807547709688</v>
      </c>
    </row>
    <row r="29" spans="1:35" x14ac:dyDescent="0.2">
      <c r="A29" s="1" t="s">
        <v>75</v>
      </c>
      <c r="B29" s="49">
        <v>1233.4159999999999</v>
      </c>
      <c r="C29" s="49">
        <v>3265.5050000000001</v>
      </c>
      <c r="D29" s="49">
        <v>215.6969</v>
      </c>
      <c r="E29" s="49">
        <v>4714.6179000000002</v>
      </c>
      <c r="F29" s="50">
        <v>548.73030000000006</v>
      </c>
      <c r="G29" s="49">
        <v>527.29020000000003</v>
      </c>
      <c r="H29" s="49">
        <v>2188.6</v>
      </c>
      <c r="I29" s="27">
        <v>353.42739999999998</v>
      </c>
      <c r="J29" s="49">
        <v>3618.0479</v>
      </c>
      <c r="K29" s="51">
        <v>27.4</v>
      </c>
      <c r="L29" s="51">
        <v>5.7678108296618751</v>
      </c>
    </row>
    <row r="30" spans="1:35" x14ac:dyDescent="0.2">
      <c r="A30" s="1" t="s">
        <v>76</v>
      </c>
      <c r="B30" s="49">
        <v>1096.57</v>
      </c>
      <c r="C30" s="49">
        <v>4276.7039999999997</v>
      </c>
      <c r="D30" s="49">
        <v>202.85400000000001</v>
      </c>
      <c r="E30" s="49">
        <v>5576.1279999999997</v>
      </c>
      <c r="F30" s="50">
        <v>694.88</v>
      </c>
      <c r="G30" s="49">
        <v>699.88210000000004</v>
      </c>
      <c r="H30" s="49">
        <v>2230.1999999999998</v>
      </c>
      <c r="I30" s="27">
        <v>474.75689999999997</v>
      </c>
      <c r="J30" s="49">
        <v>4099.7190000000001</v>
      </c>
      <c r="K30" s="51">
        <v>23.4</v>
      </c>
      <c r="L30" s="51">
        <v>5.8204036028531254</v>
      </c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x14ac:dyDescent="0.2">
      <c r="A31" s="1" t="s">
        <v>77</v>
      </c>
      <c r="B31" s="49">
        <v>1476.4090000000001</v>
      </c>
      <c r="C31" s="49">
        <v>3321.04</v>
      </c>
      <c r="D31" s="49">
        <v>75.388900000000007</v>
      </c>
      <c r="E31" s="49">
        <v>4872.8379000000004</v>
      </c>
      <c r="F31" s="50">
        <v>858.90390000000002</v>
      </c>
      <c r="G31" s="49">
        <v>489.96159999999998</v>
      </c>
      <c r="H31" s="49">
        <v>2246.3000000000002</v>
      </c>
      <c r="I31" s="27">
        <v>402.54939999999999</v>
      </c>
      <c r="J31" s="49">
        <v>3997.7148999999999</v>
      </c>
      <c r="K31" s="51">
        <v>18.100000000000001</v>
      </c>
      <c r="L31" s="51">
        <v>5.8076919400316358</v>
      </c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x14ac:dyDescent="0.2">
      <c r="A32" s="1" t="s">
        <v>78</v>
      </c>
      <c r="B32" s="50">
        <v>875.12300000000005</v>
      </c>
      <c r="C32" s="49">
        <v>4144.1499999999996</v>
      </c>
      <c r="D32" s="49">
        <v>38.0961</v>
      </c>
      <c r="E32" s="50">
        <v>5057.3690999999999</v>
      </c>
      <c r="F32" s="50">
        <v>537.26390000000004</v>
      </c>
      <c r="G32" s="50">
        <v>515.75289999999995</v>
      </c>
      <c r="H32" s="50">
        <v>2461.3000000000002</v>
      </c>
      <c r="I32" s="52">
        <v>422.13630000000001</v>
      </c>
      <c r="J32" s="50">
        <v>3936.4531000000002</v>
      </c>
      <c r="K32" s="51">
        <v>19.25</v>
      </c>
      <c r="L32" s="51">
        <v>6.3062514524829369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1:35" x14ac:dyDescent="0.2">
      <c r="A33" s="1" t="s">
        <v>79</v>
      </c>
      <c r="B33" s="50">
        <v>1120.9159999999999</v>
      </c>
      <c r="C33" s="49">
        <v>4288.2</v>
      </c>
      <c r="D33" s="49">
        <v>36.871499999999997</v>
      </c>
      <c r="E33" s="50">
        <v>5445.9875000000002</v>
      </c>
      <c r="F33" s="50">
        <v>394.34879999999998</v>
      </c>
      <c r="G33" s="50">
        <v>491.4873</v>
      </c>
      <c r="H33" s="50">
        <v>2539.4</v>
      </c>
      <c r="I33" s="52">
        <v>606.17639999999994</v>
      </c>
      <c r="J33" s="50">
        <v>4031.4124999999999</v>
      </c>
      <c r="K33" s="51">
        <v>18.899999999999999</v>
      </c>
      <c r="L33" s="51">
        <v>6.4465398769692026</v>
      </c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1:35" x14ac:dyDescent="0.2">
      <c r="A34" s="1" t="s">
        <v>80</v>
      </c>
      <c r="B34" s="50">
        <v>1414.575</v>
      </c>
      <c r="C34" s="49">
        <v>4869.8599999999997</v>
      </c>
      <c r="D34" s="49">
        <v>32.106999999999999</v>
      </c>
      <c r="E34" s="50">
        <v>6316.5420000000004</v>
      </c>
      <c r="F34" s="50">
        <v>543.74239999999998</v>
      </c>
      <c r="G34" s="50">
        <v>491.59500000000003</v>
      </c>
      <c r="H34" s="50">
        <v>2539</v>
      </c>
      <c r="I34" s="52">
        <v>575.57470000000001</v>
      </c>
      <c r="J34" s="50">
        <v>4149.9120999999996</v>
      </c>
      <c r="K34" s="51">
        <v>17.3</v>
      </c>
      <c r="L34" s="51">
        <v>6.3849486280752927</v>
      </c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1:35" x14ac:dyDescent="0.2">
      <c r="A35" s="1" t="s">
        <v>81</v>
      </c>
      <c r="B35" s="50">
        <v>2166.63</v>
      </c>
      <c r="C35" s="49">
        <v>3464.25</v>
      </c>
      <c r="D35" s="50">
        <v>60.975700000000003</v>
      </c>
      <c r="E35" s="50">
        <v>5691.8557000000001</v>
      </c>
      <c r="F35" s="50">
        <v>513.82050000000004</v>
      </c>
      <c r="G35" s="50">
        <v>603.13630000000001</v>
      </c>
      <c r="H35" s="50">
        <v>2528.1</v>
      </c>
      <c r="I35" s="52">
        <v>526.67790000000002</v>
      </c>
      <c r="J35" s="50">
        <v>4171.7347</v>
      </c>
      <c r="K35" s="51">
        <v>17.7</v>
      </c>
      <c r="L35" s="51">
        <v>6.2942159375372499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1:35" x14ac:dyDescent="0.2">
      <c r="A36" s="1" t="s">
        <v>82</v>
      </c>
      <c r="B36" s="50">
        <v>1520.1210000000001</v>
      </c>
      <c r="C36" s="49">
        <v>3672.25</v>
      </c>
      <c r="D36" s="50">
        <v>72.9559</v>
      </c>
      <c r="E36" s="50">
        <v>5265.3269</v>
      </c>
      <c r="F36" s="50">
        <v>497.29419999999999</v>
      </c>
      <c r="G36" s="50">
        <v>750.31579999999997</v>
      </c>
      <c r="H36" s="50">
        <v>2487.1</v>
      </c>
      <c r="I36" s="52">
        <v>499.30990000000003</v>
      </c>
      <c r="J36" s="50">
        <v>4234.0199000000002</v>
      </c>
      <c r="K36" s="51">
        <v>20.5</v>
      </c>
      <c r="L36" s="51">
        <v>6.1353765116568999</v>
      </c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1:35" x14ac:dyDescent="0.2">
      <c r="A37" s="1" t="s">
        <v>83</v>
      </c>
      <c r="B37" s="50">
        <v>1031.307</v>
      </c>
      <c r="C37" s="49">
        <v>5162.3999999999996</v>
      </c>
      <c r="D37" s="50">
        <v>85.807400000000001</v>
      </c>
      <c r="E37" s="50">
        <v>6279.5144</v>
      </c>
      <c r="F37" s="50">
        <v>445.71690000000001</v>
      </c>
      <c r="G37" s="50">
        <v>726.7242</v>
      </c>
      <c r="H37" s="50">
        <v>2518</v>
      </c>
      <c r="I37" s="52">
        <v>458.97329999999999</v>
      </c>
      <c r="J37" s="50">
        <v>4149.4143999999997</v>
      </c>
      <c r="K37" s="51">
        <v>23</v>
      </c>
      <c r="L37" s="51">
        <v>6.1582434238987247</v>
      </c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1:35" x14ac:dyDescent="0.2">
      <c r="A38" s="53" t="s">
        <v>84</v>
      </c>
      <c r="B38" s="50">
        <v>2130.1</v>
      </c>
      <c r="C38" s="49">
        <v>3691.65</v>
      </c>
      <c r="D38" s="50">
        <v>71.988500000000002</v>
      </c>
      <c r="E38" s="50">
        <v>5893.7385000000004</v>
      </c>
      <c r="F38" s="50">
        <v>435.69439999999997</v>
      </c>
      <c r="G38" s="50">
        <v>592.39149999999995</v>
      </c>
      <c r="H38" s="50">
        <v>2610.9</v>
      </c>
      <c r="I38" s="52">
        <v>426.00459999999998</v>
      </c>
      <c r="J38" s="50">
        <v>4064.9904999999999</v>
      </c>
      <c r="K38" s="51">
        <v>21.7</v>
      </c>
      <c r="L38" s="51">
        <v>6.3581673750718224</v>
      </c>
      <c r="N38" s="54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1:35" x14ac:dyDescent="0.2">
      <c r="A39" s="53" t="s">
        <v>85</v>
      </c>
      <c r="B39" s="50">
        <v>1828.748</v>
      </c>
      <c r="C39" s="49">
        <v>4156.84</v>
      </c>
      <c r="D39" s="50">
        <v>64.850999999999999</v>
      </c>
      <c r="E39" s="50">
        <v>6050.4390000000003</v>
      </c>
      <c r="F39" s="50">
        <v>588.00800000000004</v>
      </c>
      <c r="G39" s="50">
        <v>606.08349999999996</v>
      </c>
      <c r="H39" s="50">
        <v>2803.9</v>
      </c>
      <c r="I39" s="52">
        <v>536.50850000000003</v>
      </c>
      <c r="J39" s="50">
        <v>4534.5</v>
      </c>
      <c r="K39" s="51">
        <v>22.5</v>
      </c>
      <c r="L39" s="51">
        <v>6.8156075459566123</v>
      </c>
      <c r="N39" s="54"/>
      <c r="O39" s="55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1:35" x14ac:dyDescent="0.2">
      <c r="A40" s="53" t="s">
        <v>86</v>
      </c>
      <c r="B40" s="50">
        <v>1515.9390000000001</v>
      </c>
      <c r="C40" s="49">
        <v>3658.59</v>
      </c>
      <c r="D40" s="50">
        <v>253.9538</v>
      </c>
      <c r="E40" s="50">
        <v>5428.4827999999998</v>
      </c>
      <c r="F40" s="50">
        <v>605.09820000000002</v>
      </c>
      <c r="G40" s="50">
        <v>546.18579999999997</v>
      </c>
      <c r="H40" s="50">
        <v>2773.3</v>
      </c>
      <c r="I40" s="52">
        <v>500.56779999999998</v>
      </c>
      <c r="J40" s="50">
        <v>4425.1517999999996</v>
      </c>
      <c r="K40" s="51">
        <v>31.8</v>
      </c>
      <c r="L40" s="51">
        <v>6.6924095696844734</v>
      </c>
      <c r="N40" s="54"/>
      <c r="O40" s="55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1:35" x14ac:dyDescent="0.2">
      <c r="A41" s="53" t="s">
        <v>87</v>
      </c>
      <c r="B41" s="50">
        <v>1003.331</v>
      </c>
      <c r="C41" s="49">
        <v>6753.88</v>
      </c>
      <c r="D41" s="50">
        <v>118.8903</v>
      </c>
      <c r="E41" s="50">
        <v>7876.1013000000003</v>
      </c>
      <c r="F41" s="50">
        <v>657.59019999999998</v>
      </c>
      <c r="G41" s="50">
        <v>1190.2072000000001</v>
      </c>
      <c r="H41" s="50">
        <v>2794.3</v>
      </c>
      <c r="I41" s="52">
        <v>463.25479999999999</v>
      </c>
      <c r="J41" s="50">
        <v>5105.3522000000003</v>
      </c>
      <c r="K41" s="51">
        <v>30.1</v>
      </c>
      <c r="L41" s="51">
        <v>6.6937996052742372</v>
      </c>
      <c r="N41" s="54"/>
      <c r="O41" s="55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1:35" x14ac:dyDescent="0.2">
      <c r="A42" s="53" t="s">
        <v>88</v>
      </c>
      <c r="B42" s="50">
        <v>2770.7489999999998</v>
      </c>
      <c r="C42" s="49">
        <v>4173.17</v>
      </c>
      <c r="D42" s="50">
        <v>87.813800000000001</v>
      </c>
      <c r="E42" s="50">
        <v>7031.7327999999998</v>
      </c>
      <c r="F42" s="50">
        <v>663.01279999999997</v>
      </c>
      <c r="G42" s="50">
        <v>1096.2313999999999</v>
      </c>
      <c r="H42" s="50">
        <v>2867.1</v>
      </c>
      <c r="I42" s="52">
        <v>547.61159999999995</v>
      </c>
      <c r="J42" s="50">
        <v>5173.9557999999997</v>
      </c>
      <c r="K42" s="51">
        <v>24.9</v>
      </c>
      <c r="L42" s="51">
        <v>6.8207709026794214</v>
      </c>
      <c r="N42" s="56"/>
      <c r="O42" s="55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1:35" s="61" customFormat="1" x14ac:dyDescent="0.2">
      <c r="A43" s="57" t="s">
        <v>89</v>
      </c>
      <c r="B43" s="58">
        <v>1857.777</v>
      </c>
      <c r="C43" s="58">
        <v>5188.665</v>
      </c>
      <c r="D43" s="58">
        <v>89.665599999999998</v>
      </c>
      <c r="E43" s="58">
        <v>7136.1076000000003</v>
      </c>
      <c r="F43" s="58">
        <v>675.55240000000003</v>
      </c>
      <c r="G43" s="58">
        <v>1079.6686</v>
      </c>
      <c r="H43" s="58">
        <v>2981.9</v>
      </c>
      <c r="I43" s="52">
        <v>297.96960000000001</v>
      </c>
      <c r="J43" s="58">
        <v>5035.0906000000004</v>
      </c>
      <c r="K43" s="59">
        <v>22</v>
      </c>
      <c r="L43" s="59">
        <v>7.0420442267167829</v>
      </c>
      <c r="M43"/>
      <c r="N43" s="56"/>
      <c r="O43" s="60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1:35" x14ac:dyDescent="0.2">
      <c r="A44" s="53" t="s">
        <v>90</v>
      </c>
      <c r="B44" s="50">
        <v>2101.0169999999998</v>
      </c>
      <c r="C44" s="49">
        <v>6001.357</v>
      </c>
      <c r="D44" s="50">
        <v>94.296999999999997</v>
      </c>
      <c r="E44" s="50">
        <v>8196.6710000000003</v>
      </c>
      <c r="F44" s="50">
        <v>709.00890000000004</v>
      </c>
      <c r="G44" s="50">
        <v>1544.2991</v>
      </c>
      <c r="H44" s="50">
        <v>3096.8</v>
      </c>
      <c r="I44" s="52">
        <v>1055.6579999999999</v>
      </c>
      <c r="J44" s="58">
        <v>6405.7659999999996</v>
      </c>
      <c r="K44" s="51">
        <v>19.3</v>
      </c>
      <c r="L44" s="59">
        <v>7.2597469081043524</v>
      </c>
      <c r="N44" s="54"/>
      <c r="O44" s="55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1:35" x14ac:dyDescent="0.2">
      <c r="A45" s="53" t="s">
        <v>91</v>
      </c>
      <c r="B45" s="50">
        <v>1790.905</v>
      </c>
      <c r="C45" s="49">
        <v>5581.57</v>
      </c>
      <c r="D45" s="50">
        <v>161.69470000000001</v>
      </c>
      <c r="E45" s="50">
        <v>7534.1697000000004</v>
      </c>
      <c r="F45" s="50">
        <v>879.93269999999995</v>
      </c>
      <c r="G45" s="50">
        <v>1327.9439</v>
      </c>
      <c r="H45" s="50">
        <v>3109.3</v>
      </c>
      <c r="I45" s="52">
        <v>775.40120000000002</v>
      </c>
      <c r="J45" s="58">
        <v>6092.5778</v>
      </c>
      <c r="K45" s="51">
        <v>19.7</v>
      </c>
      <c r="L45" s="59">
        <v>7.2364192592447454</v>
      </c>
      <c r="N45" s="54"/>
      <c r="O45" s="55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1:35" x14ac:dyDescent="0.2">
      <c r="A46" s="31" t="s">
        <v>92</v>
      </c>
      <c r="B46" s="49">
        <v>1441.5920000000001</v>
      </c>
      <c r="C46" s="49">
        <v>7115.41</v>
      </c>
      <c r="D46" s="49">
        <v>170.3937</v>
      </c>
      <c r="E46" s="49">
        <v>8727.3956999999991</v>
      </c>
      <c r="F46" s="49">
        <v>704.98239999999998</v>
      </c>
      <c r="G46" s="49">
        <v>1271.6377</v>
      </c>
      <c r="H46" s="49">
        <v>3174.9</v>
      </c>
      <c r="I46" s="52">
        <v>858.79560000000004</v>
      </c>
      <c r="J46" s="58">
        <v>6010.3157000000001</v>
      </c>
      <c r="K46" s="51">
        <v>22.9</v>
      </c>
      <c r="L46" s="59">
        <v>7.3424941103978023</v>
      </c>
      <c r="N46" s="54"/>
      <c r="O46" s="55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1:35" x14ac:dyDescent="0.2">
      <c r="A47" s="31" t="s">
        <v>93</v>
      </c>
      <c r="B47" s="49">
        <v>2717.08</v>
      </c>
      <c r="C47" s="49">
        <v>5491.57</v>
      </c>
      <c r="D47" s="49">
        <v>117.1049</v>
      </c>
      <c r="E47" s="49">
        <v>8325.7548999999999</v>
      </c>
      <c r="F47" s="49">
        <v>648.5145</v>
      </c>
      <c r="G47" s="49">
        <v>1199.4193</v>
      </c>
      <c r="H47" s="49">
        <v>3154</v>
      </c>
      <c r="I47" s="52">
        <v>902.73109999999997</v>
      </c>
      <c r="J47" s="58">
        <v>5904.6648999999998</v>
      </c>
      <c r="K47" s="51">
        <v>21.5</v>
      </c>
      <c r="L47" s="59">
        <v>7.2558611791885443</v>
      </c>
      <c r="N47" s="54"/>
      <c r="O47" s="55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1:35" x14ac:dyDescent="0.2">
      <c r="A48" s="31" t="s">
        <v>94</v>
      </c>
      <c r="B48" s="49">
        <v>2421.09</v>
      </c>
      <c r="C48" s="49">
        <v>5464.84</v>
      </c>
      <c r="D48" s="49">
        <v>114.4376</v>
      </c>
      <c r="E48" s="49">
        <v>8000.3675999999996</v>
      </c>
      <c r="F48" s="49">
        <v>774.15129999999999</v>
      </c>
      <c r="G48" s="49">
        <v>1610.2883999999999</v>
      </c>
      <c r="H48" s="49">
        <v>3261.1</v>
      </c>
      <c r="I48" s="52">
        <v>236.63990000000001</v>
      </c>
      <c r="J48" s="58">
        <v>5882.1796000000004</v>
      </c>
      <c r="K48" s="51">
        <v>20.5</v>
      </c>
      <c r="L48" s="59">
        <v>7.4681614260152509</v>
      </c>
      <c r="N48" s="54"/>
      <c r="O48" s="55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:35" x14ac:dyDescent="0.2">
      <c r="A49" s="31" t="s">
        <v>95</v>
      </c>
      <c r="B49" s="49">
        <v>2118.1880000000001</v>
      </c>
      <c r="C49" s="49">
        <v>6162.75</v>
      </c>
      <c r="D49" s="49">
        <v>121.0158</v>
      </c>
      <c r="E49" s="49">
        <v>8401.9537999999993</v>
      </c>
      <c r="F49" s="49">
        <v>872.91020000000003</v>
      </c>
      <c r="G49" s="49">
        <v>1429.3264999999999</v>
      </c>
      <c r="H49" s="49">
        <v>3369.5</v>
      </c>
      <c r="I49" s="52">
        <v>762.05510000000004</v>
      </c>
      <c r="J49" s="58">
        <v>6433.7918</v>
      </c>
      <c r="K49" s="51">
        <v>21</v>
      </c>
      <c r="L49" s="59">
        <v>7.6408241482570061</v>
      </c>
      <c r="N49" s="54"/>
      <c r="O49" s="55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:35" x14ac:dyDescent="0.2">
      <c r="A50" s="31" t="s">
        <v>96</v>
      </c>
      <c r="B50" s="49">
        <v>1968.162</v>
      </c>
      <c r="C50" s="49">
        <v>6359.19</v>
      </c>
      <c r="D50" s="49">
        <v>107.03060000000001</v>
      </c>
      <c r="E50" s="49">
        <v>8434.3826000000008</v>
      </c>
      <c r="F50" s="49">
        <v>842.43230000000005</v>
      </c>
      <c r="G50" s="49">
        <v>1184.144</v>
      </c>
      <c r="H50" s="49">
        <v>3322.4</v>
      </c>
      <c r="I50" s="52">
        <v>725.14930000000004</v>
      </c>
      <c r="J50" s="58">
        <v>6074.1256000000003</v>
      </c>
      <c r="K50" s="51">
        <v>24.3</v>
      </c>
      <c r="L50" s="59">
        <v>7.5221751439988997</v>
      </c>
      <c r="N50" s="54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:35" x14ac:dyDescent="0.2">
      <c r="A51" s="31" t="s">
        <v>111</v>
      </c>
      <c r="B51" s="49">
        <v>2360.2570000000001</v>
      </c>
      <c r="C51" s="49">
        <v>5541.7719999999999</v>
      </c>
      <c r="D51" s="49">
        <v>103.1317</v>
      </c>
      <c r="E51" s="49">
        <v>8005.1607000000004</v>
      </c>
      <c r="F51" s="49">
        <v>794.70280000000002</v>
      </c>
      <c r="G51" s="49">
        <v>1197.1170999999999</v>
      </c>
      <c r="H51" s="49">
        <v>3298.5</v>
      </c>
      <c r="I51" s="52">
        <v>681.75480000000005</v>
      </c>
      <c r="J51" s="58">
        <v>5972.0747000000001</v>
      </c>
      <c r="K51" s="51">
        <v>26.8</v>
      </c>
      <c r="L51" s="59">
        <v>7.4251902343711098</v>
      </c>
      <c r="N51" s="54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1:35" x14ac:dyDescent="0.2">
      <c r="A52" s="31" t="s">
        <v>177</v>
      </c>
      <c r="B52" s="49">
        <v>2033.086</v>
      </c>
      <c r="C52" s="49">
        <v>5877.56</v>
      </c>
      <c r="D52" s="49">
        <v>104.3137</v>
      </c>
      <c r="E52" s="49">
        <v>8014.9597000000003</v>
      </c>
      <c r="F52" s="49">
        <v>654.23559999999998</v>
      </c>
      <c r="G52" s="49">
        <v>1455.3466000000001</v>
      </c>
      <c r="H52" s="49">
        <v>3123.4</v>
      </c>
      <c r="I52" s="52">
        <v>1301.3553999999999</v>
      </c>
      <c r="J52" s="58">
        <v>6534.3375999999998</v>
      </c>
      <c r="K52" s="51">
        <v>26.9</v>
      </c>
      <c r="L52" s="59">
        <v>6.9728058564332196</v>
      </c>
      <c r="P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:35" x14ac:dyDescent="0.2">
      <c r="A53" s="31" t="s">
        <v>178</v>
      </c>
      <c r="B53" s="49">
        <v>1480.6220000000001</v>
      </c>
      <c r="C53" s="49">
        <v>6448.02</v>
      </c>
      <c r="D53" s="49">
        <v>100</v>
      </c>
      <c r="E53" s="49">
        <v>8028.6419999999998</v>
      </c>
      <c r="F53" s="49">
        <v>775</v>
      </c>
      <c r="G53" s="49">
        <v>1200</v>
      </c>
      <c r="H53" s="49">
        <v>3117.6711</v>
      </c>
      <c r="I53" s="52">
        <v>1287.5</v>
      </c>
      <c r="J53" s="58">
        <v>6380.1710999999996</v>
      </c>
      <c r="K53" s="51">
        <v>25.5</v>
      </c>
      <c r="L53" s="59">
        <v>6.9492573279931777</v>
      </c>
      <c r="P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:35" ht="13.35" customHeight="1" x14ac:dyDescent="0.2">
      <c r="A54" s="72" t="s">
        <v>97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35" x14ac:dyDescent="0.2">
      <c r="A55" t="s">
        <v>98</v>
      </c>
    </row>
    <row r="56" spans="1:35" x14ac:dyDescent="0.2">
      <c r="A56" t="s">
        <v>99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</row>
    <row r="57" spans="1:35" ht="13.35" customHeight="1" x14ac:dyDescent="0.2">
      <c r="A57" s="53" t="s">
        <v>100</v>
      </c>
      <c r="J57" s="62"/>
      <c r="K57" s="62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</row>
    <row r="58" spans="1:35" x14ac:dyDescent="0.2">
      <c r="F58" s="50"/>
      <c r="L58" s="32" t="s">
        <v>191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35" x14ac:dyDescent="0.2">
      <c r="F59" s="50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35" x14ac:dyDescent="0.2">
      <c r="F60" s="50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35" x14ac:dyDescent="0.2">
      <c r="F61" s="50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1:35" x14ac:dyDescent="0.2">
      <c r="F62" s="50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35" x14ac:dyDescent="0.2">
      <c r="F63" s="50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</row>
  </sheetData>
  <pageMargins left="0.75" right="0.75" top="1" bottom="1" header="0.5" footer="0.5"/>
  <pageSetup scale="90" firstPageNumber="1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73B4-0CDB-4C57-8F4A-89C53605F2C3}">
  <sheetPr>
    <pageSetUpPr fitToPage="1"/>
  </sheetPr>
  <dimension ref="A1:U59"/>
  <sheetViews>
    <sheetView zoomScaleNormal="100" zoomScaleSheetLayoutView="100" workbookViewId="0">
      <pane ySplit="5" topLeftCell="A6" activePane="bottomLeft" state="frozen"/>
      <selection activeCell="S24" sqref="S24"/>
      <selection pane="bottomLeft"/>
    </sheetView>
  </sheetViews>
  <sheetFormatPr defaultRowHeight="10.199999999999999" x14ac:dyDescent="0.2"/>
  <cols>
    <col min="1" max="1" width="10.7109375" customWidth="1"/>
    <col min="2" max="8" width="10.85546875" customWidth="1"/>
  </cols>
  <sheetData>
    <row r="1" spans="1:7" x14ac:dyDescent="0.2">
      <c r="A1" s="14" t="s">
        <v>179</v>
      </c>
      <c r="B1" s="15"/>
      <c r="C1" s="15"/>
      <c r="D1" s="15"/>
      <c r="E1" s="15"/>
      <c r="F1" s="15"/>
      <c r="G1" s="15"/>
    </row>
    <row r="2" spans="1:7" x14ac:dyDescent="0.2">
      <c r="A2" s="39" t="s">
        <v>30</v>
      </c>
      <c r="B2" s="38"/>
      <c r="C2" s="39"/>
      <c r="D2" s="39"/>
      <c r="E2" s="39"/>
      <c r="F2" s="39"/>
      <c r="G2" s="39"/>
    </row>
    <row r="3" spans="1:7" x14ac:dyDescent="0.2">
      <c r="A3" s="39" t="s">
        <v>35</v>
      </c>
      <c r="B3" s="41" t="s">
        <v>101</v>
      </c>
      <c r="C3" s="39" t="s">
        <v>102</v>
      </c>
      <c r="D3" s="39" t="s">
        <v>101</v>
      </c>
      <c r="E3" s="39" t="s">
        <v>103</v>
      </c>
      <c r="F3" s="39" t="s">
        <v>104</v>
      </c>
      <c r="G3" s="39" t="s">
        <v>39</v>
      </c>
    </row>
    <row r="4" spans="1:7" x14ac:dyDescent="0.2">
      <c r="A4" s="20" t="s">
        <v>46</v>
      </c>
      <c r="B4" s="44" t="s">
        <v>105</v>
      </c>
      <c r="C4" s="20" t="s">
        <v>106</v>
      </c>
      <c r="D4" s="20" t="s">
        <v>107</v>
      </c>
      <c r="E4" s="20" t="s">
        <v>108</v>
      </c>
      <c r="F4" s="20" t="s">
        <v>109</v>
      </c>
      <c r="G4" s="39"/>
    </row>
    <row r="5" spans="1:7" x14ac:dyDescent="0.2">
      <c r="A5" s="24"/>
      <c r="B5" s="24"/>
      <c r="C5" s="63"/>
      <c r="D5" s="63" t="s">
        <v>110</v>
      </c>
      <c r="E5" s="24"/>
      <c r="F5" s="24"/>
      <c r="G5" s="25"/>
    </row>
    <row r="6" spans="1:7" x14ac:dyDescent="0.2">
      <c r="B6" s="47"/>
      <c r="C6" s="47"/>
      <c r="D6" s="47"/>
      <c r="E6" s="47"/>
      <c r="F6" s="47"/>
      <c r="G6" s="47"/>
    </row>
    <row r="7" spans="1:7" x14ac:dyDescent="0.2">
      <c r="A7" s="1" t="s">
        <v>55</v>
      </c>
      <c r="B7" s="49">
        <v>237.89</v>
      </c>
      <c r="C7" s="49">
        <v>205.489</v>
      </c>
      <c r="D7" s="49">
        <v>612.63400000000001</v>
      </c>
      <c r="E7" s="49">
        <v>19.687999999999999</v>
      </c>
      <c r="F7" s="50">
        <f>120.263*0.7519</f>
        <v>90.425749700000011</v>
      </c>
      <c r="G7" s="64">
        <f>SUM(B7:F7)</f>
        <v>1166.1267497000001</v>
      </c>
    </row>
    <row r="8" spans="1:7" x14ac:dyDescent="0.2">
      <c r="A8" s="1" t="s">
        <v>56</v>
      </c>
      <c r="B8" s="49">
        <v>255.86199999999999</v>
      </c>
      <c r="C8" s="49">
        <v>277.95400000000001</v>
      </c>
      <c r="D8" s="49">
        <v>676.36900000000003</v>
      </c>
      <c r="E8" s="49">
        <v>15.271000000000001</v>
      </c>
      <c r="F8" s="50">
        <f>200.735*0.7519</f>
        <v>150.9326465</v>
      </c>
      <c r="G8" s="64">
        <f t="shared" ref="G8:G50" si="0">SUM(B8:F8)</f>
        <v>1376.3886464999998</v>
      </c>
    </row>
    <row r="9" spans="1:7" x14ac:dyDescent="0.2">
      <c r="A9" s="1" t="s">
        <v>57</v>
      </c>
      <c r="B9" s="49">
        <v>284.15600000000001</v>
      </c>
      <c r="C9" s="49">
        <v>308.11799999999999</v>
      </c>
      <c r="D9" s="49">
        <v>699.53199999999993</v>
      </c>
      <c r="E9" s="49">
        <v>16.959</v>
      </c>
      <c r="F9" s="50">
        <f>206.425*0.7519</f>
        <v>155.21095750000001</v>
      </c>
      <c r="G9" s="64">
        <f t="shared" si="0"/>
        <v>1463.9759575</v>
      </c>
    </row>
    <row r="10" spans="1:7" x14ac:dyDescent="0.2">
      <c r="A10" s="1" t="s">
        <v>58</v>
      </c>
      <c r="B10" s="49">
        <v>298.065</v>
      </c>
      <c r="C10" s="49">
        <v>301.971</v>
      </c>
      <c r="D10" s="49">
        <v>695.70899999999995</v>
      </c>
      <c r="E10" s="49">
        <v>15.468999999999999</v>
      </c>
      <c r="F10" s="50">
        <f>172.984*0.7519</f>
        <v>130.06666960000001</v>
      </c>
      <c r="G10" s="64">
        <f t="shared" si="0"/>
        <v>1441.2806696</v>
      </c>
    </row>
    <row r="11" spans="1:7" x14ac:dyDescent="0.2">
      <c r="A11" s="1" t="s">
        <v>59</v>
      </c>
      <c r="B11" s="49">
        <v>290.31799999999998</v>
      </c>
      <c r="C11" s="49">
        <v>309.05</v>
      </c>
      <c r="D11" s="49">
        <v>723.37699999999995</v>
      </c>
      <c r="E11" s="49">
        <v>19.201000000000001</v>
      </c>
      <c r="F11" s="50">
        <f>211.947*0.7519</f>
        <v>159.3629493</v>
      </c>
      <c r="G11" s="64">
        <f t="shared" si="0"/>
        <v>1501.3089493</v>
      </c>
    </row>
    <row r="12" spans="1:7" x14ac:dyDescent="0.2">
      <c r="A12" s="1" t="s">
        <v>60</v>
      </c>
      <c r="B12" s="49">
        <v>313.488</v>
      </c>
      <c r="C12" s="49">
        <v>355.89800000000002</v>
      </c>
      <c r="D12" s="49">
        <v>726.5</v>
      </c>
      <c r="E12" s="49">
        <v>23.472999999999999</v>
      </c>
      <c r="F12" s="50">
        <f>234.72*0.7519</f>
        <v>176.48596800000001</v>
      </c>
      <c r="G12" s="64">
        <f t="shared" si="0"/>
        <v>1595.8449679999999</v>
      </c>
    </row>
    <row r="13" spans="1:7" x14ac:dyDescent="0.2">
      <c r="A13" s="1" t="s">
        <v>61</v>
      </c>
      <c r="B13" s="49">
        <v>323.45</v>
      </c>
      <c r="C13" s="49">
        <v>375.89800000000002</v>
      </c>
      <c r="D13" s="49">
        <v>709.24400000000003</v>
      </c>
      <c r="E13" s="49">
        <v>39.923000000000002</v>
      </c>
      <c r="F13" s="50">
        <f>215.046*0.7519</f>
        <v>161.6930874</v>
      </c>
      <c r="G13" s="64">
        <f t="shared" si="0"/>
        <v>1610.2080874000001</v>
      </c>
    </row>
    <row r="14" spans="1:7" x14ac:dyDescent="0.2">
      <c r="A14" s="1" t="s">
        <v>62</v>
      </c>
      <c r="B14" s="49">
        <v>296.91199999999998</v>
      </c>
      <c r="C14" s="49">
        <v>401.7</v>
      </c>
      <c r="D14" s="49">
        <v>757.47800000000007</v>
      </c>
      <c r="E14" s="49">
        <v>37.325000000000003</v>
      </c>
      <c r="F14" s="50">
        <f>187.837*0.7519</f>
        <v>141.2346403</v>
      </c>
      <c r="G14" s="64">
        <f t="shared" si="0"/>
        <v>1634.6496403000001</v>
      </c>
    </row>
    <row r="15" spans="1:7" x14ac:dyDescent="0.2">
      <c r="A15" s="1" t="s">
        <v>63</v>
      </c>
      <c r="B15" s="49">
        <v>326.90699999999998</v>
      </c>
      <c r="C15" s="49">
        <v>381.48099999999999</v>
      </c>
      <c r="D15" s="49">
        <v>860.30100000000004</v>
      </c>
      <c r="E15" s="49">
        <v>35.978000000000002</v>
      </c>
      <c r="F15" s="50">
        <f>237.386*0.7519</f>
        <v>178.4905334</v>
      </c>
      <c r="G15" s="64">
        <f t="shared" si="0"/>
        <v>1783.1575333999999</v>
      </c>
    </row>
    <row r="16" spans="1:7" x14ac:dyDescent="0.2">
      <c r="A16" s="1" t="s">
        <v>64</v>
      </c>
      <c r="B16" s="49">
        <v>330.15800000000002</v>
      </c>
      <c r="C16" s="49">
        <v>392.81099999999998</v>
      </c>
      <c r="D16" s="49">
        <v>897.31799999999998</v>
      </c>
      <c r="E16" s="49">
        <v>36.682000000000002</v>
      </c>
      <c r="F16" s="50">
        <f>242.056*0.7519</f>
        <v>182.00190640000002</v>
      </c>
      <c r="G16" s="64">
        <f t="shared" si="0"/>
        <v>1838.9709064000001</v>
      </c>
    </row>
    <row r="17" spans="1:7" x14ac:dyDescent="0.2">
      <c r="A17" s="1" t="s">
        <v>65</v>
      </c>
      <c r="B17" s="49">
        <v>305.32400000000001</v>
      </c>
      <c r="C17" s="49">
        <v>355.25799999999998</v>
      </c>
      <c r="D17" s="49">
        <v>742.38400000000001</v>
      </c>
      <c r="E17" s="49">
        <v>37.887999999999998</v>
      </c>
      <c r="F17" s="50">
        <f>229.641*0.7519</f>
        <v>172.66706790000001</v>
      </c>
      <c r="G17" s="64">
        <f t="shared" si="0"/>
        <v>1613.5210678999997</v>
      </c>
    </row>
    <row r="18" spans="1:7" x14ac:dyDescent="0.2">
      <c r="A18" s="1" t="s">
        <v>66</v>
      </c>
      <c r="B18" s="49">
        <v>327.61700000000002</v>
      </c>
      <c r="C18" s="49">
        <v>346.255</v>
      </c>
      <c r="D18" s="49">
        <v>886.36699999999996</v>
      </c>
      <c r="E18" s="49">
        <v>34.173000000000002</v>
      </c>
      <c r="F18" s="50">
        <f>253.566*0.7519</f>
        <v>190.6562754</v>
      </c>
      <c r="G18" s="64">
        <f t="shared" si="0"/>
        <v>1785.0682753999999</v>
      </c>
    </row>
    <row r="19" spans="1:7" x14ac:dyDescent="0.2">
      <c r="A19" s="1" t="s">
        <v>67</v>
      </c>
      <c r="B19" s="49">
        <v>328.32400000000001</v>
      </c>
      <c r="C19" s="49">
        <v>352.77499999999998</v>
      </c>
      <c r="D19" s="49">
        <v>797.91</v>
      </c>
      <c r="E19" s="49">
        <v>24.981000000000002</v>
      </c>
      <c r="F19" s="50">
        <f>271.365*0.7519</f>
        <v>204.0393435</v>
      </c>
      <c r="G19" s="64">
        <f t="shared" si="0"/>
        <v>1708.0293435000001</v>
      </c>
    </row>
    <row r="20" spans="1:7" x14ac:dyDescent="0.2">
      <c r="A20" s="1" t="s">
        <v>68</v>
      </c>
      <c r="B20" s="49">
        <v>362.41800000000001</v>
      </c>
      <c r="C20" s="49">
        <v>348.86700000000002</v>
      </c>
      <c r="D20" s="49">
        <v>727.00599999999997</v>
      </c>
      <c r="E20" s="49">
        <v>36.301000000000002</v>
      </c>
      <c r="F20" s="50">
        <f>224.485*0.7519</f>
        <v>168.79027150000002</v>
      </c>
      <c r="G20" s="64">
        <f t="shared" si="0"/>
        <v>1643.3822715000001</v>
      </c>
    </row>
    <row r="21" spans="1:7" x14ac:dyDescent="0.2">
      <c r="A21" s="1" t="s">
        <v>69</v>
      </c>
      <c r="B21" s="49">
        <v>349.63</v>
      </c>
      <c r="C21" s="49">
        <v>301.548</v>
      </c>
      <c r="D21" s="49">
        <v>709.82299999999998</v>
      </c>
      <c r="E21" s="49">
        <v>36.853999999999999</v>
      </c>
      <c r="F21" s="50">
        <f>259.122*0.7519</f>
        <v>194.83383180000001</v>
      </c>
      <c r="G21" s="64">
        <f t="shared" si="0"/>
        <v>1592.6888318000001</v>
      </c>
    </row>
    <row r="22" spans="1:7" x14ac:dyDescent="0.2">
      <c r="A22" s="1" t="s">
        <v>70</v>
      </c>
      <c r="B22" s="49">
        <v>350.66300000000001</v>
      </c>
      <c r="C22" s="49">
        <v>277.089</v>
      </c>
      <c r="D22" s="49">
        <v>728.07600000000002</v>
      </c>
      <c r="E22" s="49">
        <v>32.015000000000001</v>
      </c>
      <c r="F22" s="50">
        <f>228.593*0.7519</f>
        <v>171.87907669999998</v>
      </c>
      <c r="G22" s="64">
        <f t="shared" si="0"/>
        <v>1559.7220767000001</v>
      </c>
    </row>
    <row r="23" spans="1:7" x14ac:dyDescent="0.2">
      <c r="A23" s="1" t="s">
        <v>71</v>
      </c>
      <c r="B23" s="49">
        <v>360.846</v>
      </c>
      <c r="C23" s="49">
        <v>290.10199999999998</v>
      </c>
      <c r="D23" s="49">
        <v>727.53099999999995</v>
      </c>
      <c r="E23" s="49">
        <v>33.825000000000003</v>
      </c>
      <c r="F23" s="50">
        <f>241.547*0.7519</f>
        <v>181.61918929999999</v>
      </c>
      <c r="G23" s="64">
        <f t="shared" si="0"/>
        <v>1593.9231892999999</v>
      </c>
    </row>
    <row r="24" spans="1:7" x14ac:dyDescent="0.2">
      <c r="A24" s="1" t="s">
        <v>72</v>
      </c>
      <c r="B24" s="49">
        <v>351.017</v>
      </c>
      <c r="C24" s="49">
        <v>306.90800000000002</v>
      </c>
      <c r="D24" s="49">
        <v>760.23</v>
      </c>
      <c r="E24" s="49">
        <v>35.470999999999997</v>
      </c>
      <c r="F24" s="50">
        <f>253.115*0.7519</f>
        <v>190.31716850000001</v>
      </c>
      <c r="G24" s="64">
        <f t="shared" si="0"/>
        <v>1643.9431685</v>
      </c>
    </row>
    <row r="25" spans="1:7" x14ac:dyDescent="0.2">
      <c r="A25" s="1" t="s">
        <v>73</v>
      </c>
      <c r="B25" s="49">
        <v>380.17700000000002</v>
      </c>
      <c r="C25" s="49">
        <v>349.80599999999998</v>
      </c>
      <c r="D25" s="49">
        <v>744.70600000000002</v>
      </c>
      <c r="E25" s="49">
        <v>22.131</v>
      </c>
      <c r="F25" s="50">
        <f>235.012*0.7519</f>
        <v>176.70552280000001</v>
      </c>
      <c r="G25" s="64">
        <f t="shared" si="0"/>
        <v>1673.5255227999999</v>
      </c>
    </row>
    <row r="26" spans="1:7" x14ac:dyDescent="0.2">
      <c r="A26" s="1" t="s">
        <v>74</v>
      </c>
      <c r="B26" s="49">
        <v>354.95299999999997</v>
      </c>
      <c r="C26" s="49">
        <v>394.12099999999998</v>
      </c>
      <c r="D26" s="49">
        <v>772.10400000000004</v>
      </c>
      <c r="E26" s="49">
        <v>20.227</v>
      </c>
      <c r="F26" s="50">
        <f>248.943*0.7519</f>
        <v>187.18024170000001</v>
      </c>
      <c r="G26" s="64">
        <f t="shared" si="0"/>
        <v>1728.5852417000001</v>
      </c>
    </row>
    <row r="27" spans="1:7" x14ac:dyDescent="0.2">
      <c r="A27" s="1" t="s">
        <v>75</v>
      </c>
      <c r="B27" s="49">
        <v>355.61</v>
      </c>
      <c r="C27" s="49">
        <v>361.51600000000002</v>
      </c>
      <c r="D27" s="49">
        <v>753.23900000000003</v>
      </c>
      <c r="E27" s="49">
        <v>19.998000000000001</v>
      </c>
      <c r="F27" s="50">
        <f>249.726*0.7519</f>
        <v>187.76897940000001</v>
      </c>
      <c r="G27" s="64">
        <f t="shared" si="0"/>
        <v>1678.1319794000001</v>
      </c>
    </row>
    <row r="28" spans="1:7" x14ac:dyDescent="0.2">
      <c r="A28" s="1" t="s">
        <v>76</v>
      </c>
      <c r="B28" s="49">
        <v>349.72899999999998</v>
      </c>
      <c r="C28" s="49">
        <v>360.916</v>
      </c>
      <c r="D28" s="49">
        <v>818.92700000000002</v>
      </c>
      <c r="E28" s="49">
        <v>17.283999999999999</v>
      </c>
      <c r="F28" s="50">
        <f>219.006*0.7519</f>
        <v>164.67061140000001</v>
      </c>
      <c r="G28" s="64">
        <f t="shared" si="0"/>
        <v>1711.5266114000003</v>
      </c>
    </row>
    <row r="29" spans="1:7" x14ac:dyDescent="0.2">
      <c r="A29" s="1" t="s">
        <v>77</v>
      </c>
      <c r="B29" s="49">
        <v>354.23200000000003</v>
      </c>
      <c r="C29" s="49">
        <v>344.91300000000001</v>
      </c>
      <c r="D29" s="49">
        <v>828.529</v>
      </c>
      <c r="E29" s="49">
        <v>24.379000000000001</v>
      </c>
      <c r="F29" s="50">
        <f>224.13*0.7519</f>
        <v>168.523347</v>
      </c>
      <c r="G29" s="64">
        <f t="shared" si="0"/>
        <v>1720.5763469999999</v>
      </c>
    </row>
    <row r="30" spans="1:7" x14ac:dyDescent="0.2">
      <c r="A30" s="1" t="s">
        <v>78</v>
      </c>
      <c r="B30" s="50">
        <v>365.983</v>
      </c>
      <c r="C30" s="49">
        <v>414.58800000000002</v>
      </c>
      <c r="D30" s="49">
        <v>901.63699999999994</v>
      </c>
      <c r="E30" s="50">
        <v>15.93</v>
      </c>
      <c r="F30" s="50">
        <f>242.985*0.7519</f>
        <v>182.7004215</v>
      </c>
      <c r="G30" s="64">
        <f t="shared" si="0"/>
        <v>1880.8384215000001</v>
      </c>
    </row>
    <row r="31" spans="1:7" x14ac:dyDescent="0.2">
      <c r="A31" s="1" t="s">
        <v>79</v>
      </c>
      <c r="B31" s="50">
        <v>389.69600000000003</v>
      </c>
      <c r="C31" s="49">
        <v>450.78100000000001</v>
      </c>
      <c r="D31" s="49">
        <v>938.51400000000001</v>
      </c>
      <c r="E31" s="50">
        <v>22.547000000000001</v>
      </c>
      <c r="F31" s="50">
        <f>252.131*0.7519</f>
        <v>189.57729890000002</v>
      </c>
      <c r="G31" s="64">
        <f t="shared" si="0"/>
        <v>1991.1152989</v>
      </c>
    </row>
    <row r="32" spans="1:7" x14ac:dyDescent="0.2">
      <c r="A32" s="1" t="s">
        <v>80</v>
      </c>
      <c r="B32" s="50">
        <v>376.77699999999999</v>
      </c>
      <c r="C32" s="49">
        <v>454.32400000000001</v>
      </c>
      <c r="D32" s="49">
        <v>974.22299999999996</v>
      </c>
      <c r="E32" s="50">
        <v>12.092000000000001</v>
      </c>
      <c r="F32" s="50">
        <f>252.685*0.7519</f>
        <v>189.99385150000001</v>
      </c>
      <c r="G32" s="64">
        <f t="shared" si="0"/>
        <v>2007.4098515000001</v>
      </c>
    </row>
    <row r="33" spans="1:21" x14ac:dyDescent="0.2">
      <c r="A33" s="1" t="s">
        <v>81</v>
      </c>
      <c r="B33" s="50">
        <v>373.68400000000003</v>
      </c>
      <c r="C33" s="49">
        <v>415.13099999999997</v>
      </c>
      <c r="D33" s="50">
        <v>993.44500000000005</v>
      </c>
      <c r="E33" s="50">
        <v>9.3970000000000002</v>
      </c>
      <c r="F33" s="50">
        <f>236.508*0.7519</f>
        <v>177.83036520000002</v>
      </c>
      <c r="G33" s="64">
        <f t="shared" si="0"/>
        <v>1969.4873652000001</v>
      </c>
    </row>
    <row r="34" spans="1:21" x14ac:dyDescent="0.2">
      <c r="A34" s="1" t="s">
        <v>82</v>
      </c>
      <c r="B34" s="50">
        <v>320.46699999999998</v>
      </c>
      <c r="C34" s="49">
        <v>425.166</v>
      </c>
      <c r="D34" s="50">
        <v>1012.263</v>
      </c>
      <c r="E34" s="50">
        <v>10.676</v>
      </c>
      <c r="F34" s="50">
        <f>241.694*0.7519</f>
        <v>181.72971859999998</v>
      </c>
      <c r="G34" s="64">
        <f t="shared" si="0"/>
        <v>1950.3017186000002</v>
      </c>
    </row>
    <row r="35" spans="1:21" x14ac:dyDescent="0.2">
      <c r="A35" s="1" t="s">
        <v>83</v>
      </c>
      <c r="B35" s="50">
        <v>316.27499999999998</v>
      </c>
      <c r="C35" s="49">
        <v>367.47800000000001</v>
      </c>
      <c r="D35" s="50">
        <v>1102.6980000000001</v>
      </c>
      <c r="E35" s="50">
        <v>9.84</v>
      </c>
      <c r="F35" s="50">
        <f>279.592*0.7519</f>
        <v>210.22522479999998</v>
      </c>
      <c r="G35" s="64">
        <f t="shared" si="0"/>
        <v>2006.5162247999999</v>
      </c>
    </row>
    <row r="36" spans="1:21" x14ac:dyDescent="0.2">
      <c r="A36" s="53" t="s">
        <v>84</v>
      </c>
      <c r="B36" s="50">
        <v>315.59500000000003</v>
      </c>
      <c r="C36" s="49">
        <v>352.96300000000002</v>
      </c>
      <c r="D36" s="50">
        <v>1191.8209999999999</v>
      </c>
      <c r="E36" s="50">
        <v>15.84</v>
      </c>
      <c r="F36" s="50">
        <f>264.972*0.7519</f>
        <v>199.23244679999999</v>
      </c>
      <c r="G36" s="64">
        <f t="shared" si="0"/>
        <v>2075.4514467999998</v>
      </c>
    </row>
    <row r="37" spans="1:21" x14ac:dyDescent="0.2">
      <c r="A37" s="53" t="s">
        <v>85</v>
      </c>
      <c r="B37" s="50">
        <v>395.452</v>
      </c>
      <c r="C37" s="49">
        <v>395.17700000000002</v>
      </c>
      <c r="D37" s="50">
        <v>1213.229</v>
      </c>
      <c r="E37" s="50">
        <v>16.89</v>
      </c>
      <c r="F37" s="50">
        <f>262.915*0.7519</f>
        <v>197.68578850000003</v>
      </c>
      <c r="G37" s="64">
        <f t="shared" si="0"/>
        <v>2218.4337885000004</v>
      </c>
    </row>
    <row r="38" spans="1:21" x14ac:dyDescent="0.2">
      <c r="A38" s="53" t="s">
        <v>86</v>
      </c>
      <c r="B38" s="50">
        <v>394.678</v>
      </c>
      <c r="C38" s="49">
        <v>390.06799999999998</v>
      </c>
      <c r="D38" s="50">
        <v>1197.748</v>
      </c>
      <c r="E38" s="50">
        <v>19.661000000000001</v>
      </c>
      <c r="F38" s="50">
        <f>245.485*0.7519</f>
        <v>184.58017150000001</v>
      </c>
      <c r="G38" s="64">
        <f t="shared" si="0"/>
        <v>2186.7351715000004</v>
      </c>
    </row>
    <row r="39" spans="1:21" x14ac:dyDescent="0.2">
      <c r="A39" s="53" t="s">
        <v>87</v>
      </c>
      <c r="B39" s="50">
        <v>381.91399999999999</v>
      </c>
      <c r="C39" s="49">
        <v>400.42899999999997</v>
      </c>
      <c r="D39" s="50">
        <v>1227.8589999999999</v>
      </c>
      <c r="E39" s="50">
        <v>20.664000000000001</v>
      </c>
      <c r="F39" s="50">
        <f>291.798*0.7519</f>
        <v>219.40291619999999</v>
      </c>
      <c r="G39" s="64">
        <f t="shared" si="0"/>
        <v>2250.2689161999997</v>
      </c>
    </row>
    <row r="40" spans="1:21" x14ac:dyDescent="0.2">
      <c r="A40" s="53" t="s">
        <v>88</v>
      </c>
      <c r="B40" s="50">
        <v>395.726</v>
      </c>
      <c r="C40" s="49">
        <v>429.79599999999994</v>
      </c>
      <c r="D40" s="50">
        <v>1218.17</v>
      </c>
      <c r="E40" s="50">
        <v>29.103000000000002</v>
      </c>
      <c r="F40" s="50">
        <v>242.37421310000002</v>
      </c>
      <c r="G40" s="64">
        <f t="shared" si="0"/>
        <v>2315.1692131</v>
      </c>
    </row>
    <row r="41" spans="1:21" x14ac:dyDescent="0.2">
      <c r="A41" s="53" t="s">
        <v>89</v>
      </c>
      <c r="B41" s="50">
        <v>375.85600000000005</v>
      </c>
      <c r="C41" s="49">
        <v>428.47700000000003</v>
      </c>
      <c r="D41" s="50">
        <v>1303.7549999999999</v>
      </c>
      <c r="E41" s="50">
        <v>53.178999999999988</v>
      </c>
      <c r="F41" s="50">
        <v>211.27487720000005</v>
      </c>
      <c r="G41" s="64">
        <f t="shared" si="0"/>
        <v>2372.5418771999998</v>
      </c>
    </row>
    <row r="42" spans="1:21" x14ac:dyDescent="0.2">
      <c r="A42" s="53" t="s">
        <v>90</v>
      </c>
      <c r="B42" s="50">
        <v>377.50499999999994</v>
      </c>
      <c r="C42" s="49">
        <v>505.69200000000001</v>
      </c>
      <c r="D42" s="50">
        <v>1299.634</v>
      </c>
      <c r="E42" s="50">
        <v>61.387999999999998</v>
      </c>
      <c r="F42" s="50">
        <v>195.65941800000002</v>
      </c>
      <c r="G42" s="64">
        <f t="shared" si="0"/>
        <v>2439.8784180000002</v>
      </c>
      <c r="I42" s="65"/>
    </row>
    <row r="43" spans="1:21" x14ac:dyDescent="0.2">
      <c r="A43" s="53" t="s">
        <v>91</v>
      </c>
      <c r="B43" s="50">
        <v>407.70100000000002</v>
      </c>
      <c r="C43" s="49">
        <v>470.29200000000003</v>
      </c>
      <c r="D43" s="50">
        <v>1338.1949999999999</v>
      </c>
      <c r="E43" s="50">
        <v>56.768999999999991</v>
      </c>
      <c r="F43" s="50">
        <v>172.67985020000003</v>
      </c>
      <c r="G43" s="64">
        <f t="shared" si="0"/>
        <v>2445.6368502</v>
      </c>
      <c r="I43" s="65"/>
    </row>
    <row r="44" spans="1:21" x14ac:dyDescent="0.2">
      <c r="A44" s="2" t="s">
        <v>92</v>
      </c>
      <c r="B44" s="49">
        <v>379.50400000000002</v>
      </c>
      <c r="C44" s="49">
        <v>524.84500000000003</v>
      </c>
      <c r="D44" s="49">
        <v>1314.567</v>
      </c>
      <c r="E44" s="49">
        <v>95.942999999999998</v>
      </c>
      <c r="F44" s="49">
        <v>152.19959800000001</v>
      </c>
      <c r="G44" s="64">
        <f t="shared" si="0"/>
        <v>2467.0585980000005</v>
      </c>
      <c r="I44" s="65"/>
      <c r="K44" s="65"/>
      <c r="L44" s="65"/>
      <c r="M44" s="65"/>
      <c r="N44" s="65"/>
    </row>
    <row r="45" spans="1:21" x14ac:dyDescent="0.2">
      <c r="A45" s="2" t="s">
        <v>93</v>
      </c>
      <c r="B45" s="49">
        <v>380.93599999999998</v>
      </c>
      <c r="C45" s="49">
        <v>467.67599999999999</v>
      </c>
      <c r="D45" s="49">
        <v>1342.4369999999999</v>
      </c>
      <c r="E45" s="49">
        <v>112.651</v>
      </c>
      <c r="F45" s="49">
        <v>151.2243837</v>
      </c>
      <c r="G45" s="64">
        <f t="shared" si="0"/>
        <v>2454.9243836999999</v>
      </c>
      <c r="I45" s="65"/>
      <c r="K45" s="65"/>
      <c r="L45" s="65"/>
      <c r="M45" s="65"/>
      <c r="N45" s="65"/>
      <c r="P45" s="65"/>
      <c r="Q45" s="65"/>
      <c r="R45" s="65"/>
      <c r="S45" s="65"/>
      <c r="T45" s="65"/>
      <c r="U45" s="65"/>
    </row>
    <row r="46" spans="1:21" x14ac:dyDescent="0.2">
      <c r="A46" s="2" t="s">
        <v>94</v>
      </c>
      <c r="B46" s="49">
        <v>395.64699999999999</v>
      </c>
      <c r="C46" s="49">
        <v>481.43</v>
      </c>
      <c r="D46" s="49">
        <v>1410.2639999999999</v>
      </c>
      <c r="E46" s="49">
        <v>91.566999999999993</v>
      </c>
      <c r="F46" s="49">
        <v>150.47849890000001</v>
      </c>
      <c r="G46" s="64">
        <f t="shared" si="0"/>
        <v>2529.3864988999999</v>
      </c>
      <c r="I46" s="65"/>
      <c r="K46" s="65"/>
      <c r="L46" s="65"/>
      <c r="M46" s="65"/>
      <c r="N46" s="65"/>
      <c r="P46" s="65"/>
      <c r="Q46" s="65"/>
      <c r="R46" s="65"/>
      <c r="S46" s="65"/>
      <c r="T46" s="65"/>
      <c r="U46" s="65"/>
    </row>
    <row r="47" spans="1:21" x14ac:dyDescent="0.2">
      <c r="A47" s="2" t="s">
        <v>95</v>
      </c>
      <c r="B47" s="49">
        <v>433.20600000000002</v>
      </c>
      <c r="C47" s="49">
        <v>505.548</v>
      </c>
      <c r="D47" s="49">
        <v>1448.8520000000001</v>
      </c>
      <c r="E47" s="49">
        <v>72.676000000000002</v>
      </c>
      <c r="F47" s="49">
        <v>159.966725</v>
      </c>
      <c r="G47" s="64">
        <f t="shared" si="0"/>
        <v>2620.2487250000004</v>
      </c>
      <c r="I47" s="65"/>
      <c r="K47" s="65"/>
      <c r="L47" s="65"/>
      <c r="M47" s="65"/>
      <c r="N47" s="65"/>
      <c r="P47" s="65"/>
      <c r="Q47" s="65"/>
      <c r="R47" s="65"/>
      <c r="S47" s="65"/>
      <c r="T47" s="65"/>
      <c r="U47" s="65"/>
    </row>
    <row r="48" spans="1:21" x14ac:dyDescent="0.2">
      <c r="A48" s="2" t="s">
        <v>96</v>
      </c>
      <c r="B48" s="49">
        <v>490.13200000000001</v>
      </c>
      <c r="C48" s="49">
        <v>485.35899999999998</v>
      </c>
      <c r="D48" s="49">
        <v>1409.12</v>
      </c>
      <c r="E48" s="49">
        <v>60.173000000000002</v>
      </c>
      <c r="F48" s="49">
        <v>166.85488090000001</v>
      </c>
      <c r="G48" s="64">
        <f t="shared" si="0"/>
        <v>2611.6388808999995</v>
      </c>
      <c r="I48" s="65"/>
      <c r="K48" s="65"/>
      <c r="L48" s="65"/>
      <c r="M48" s="65"/>
      <c r="N48" s="65"/>
      <c r="P48" s="65"/>
      <c r="Q48" s="65"/>
      <c r="R48" s="65"/>
      <c r="S48" s="65"/>
      <c r="T48" s="65"/>
      <c r="U48" s="65"/>
    </row>
    <row r="49" spans="1:21" x14ac:dyDescent="0.2">
      <c r="A49" s="2" t="s">
        <v>111</v>
      </c>
      <c r="B49" s="49">
        <v>441.779</v>
      </c>
      <c r="C49" s="49">
        <v>455.62299999999999</v>
      </c>
      <c r="D49" s="49">
        <v>1480.173</v>
      </c>
      <c r="E49" s="49">
        <v>45.351999999999997</v>
      </c>
      <c r="F49" s="49">
        <v>168.32334159999999</v>
      </c>
      <c r="G49" s="64">
        <f t="shared" si="0"/>
        <v>2591.2503415999995</v>
      </c>
      <c r="I49" s="65"/>
      <c r="P49" s="65"/>
      <c r="Q49" s="65"/>
      <c r="R49" s="65"/>
      <c r="S49" s="65"/>
      <c r="T49" s="65"/>
      <c r="U49" s="65"/>
    </row>
    <row r="50" spans="1:21" x14ac:dyDescent="0.2">
      <c r="A50" s="2" t="s">
        <v>180</v>
      </c>
      <c r="B50" s="49">
        <v>410.24099999999999</v>
      </c>
      <c r="C50" s="49">
        <v>405.75700000000001</v>
      </c>
      <c r="D50" s="49">
        <v>1452.7929999999999</v>
      </c>
      <c r="E50" s="49">
        <v>54.698</v>
      </c>
      <c r="F50" s="49">
        <v>170.2015878</v>
      </c>
      <c r="G50" s="64">
        <f t="shared" si="0"/>
        <v>2493.6905878000002</v>
      </c>
      <c r="I50" s="65"/>
      <c r="P50" s="65"/>
      <c r="Q50" s="65"/>
      <c r="R50" s="65"/>
      <c r="S50" s="65"/>
      <c r="T50" s="65"/>
      <c r="U50" s="65"/>
    </row>
    <row r="51" spans="1:21" x14ac:dyDescent="0.2">
      <c r="A51" s="78" t="s">
        <v>112</v>
      </c>
      <c r="B51" s="77"/>
      <c r="C51" s="77"/>
      <c r="D51" s="77"/>
      <c r="E51" s="77"/>
      <c r="F51" s="77"/>
      <c r="G51" s="77"/>
      <c r="I51" s="65"/>
    </row>
    <row r="52" spans="1:21" ht="13.35" customHeight="1" x14ac:dyDescent="0.2">
      <c r="A52" t="s">
        <v>113</v>
      </c>
      <c r="I52" s="65"/>
    </row>
    <row r="53" spans="1:21" x14ac:dyDescent="0.2">
      <c r="G53" s="32" t="s">
        <v>191</v>
      </c>
      <c r="I53" s="65"/>
    </row>
    <row r="54" spans="1:21" x14ac:dyDescent="0.2">
      <c r="F54" s="50"/>
      <c r="I54" s="65"/>
    </row>
    <row r="55" spans="1:21" x14ac:dyDescent="0.2">
      <c r="F55" s="50"/>
      <c r="I55" s="65"/>
    </row>
    <row r="56" spans="1:21" x14ac:dyDescent="0.2">
      <c r="F56" s="50"/>
      <c r="I56" s="65"/>
    </row>
    <row r="57" spans="1:21" x14ac:dyDescent="0.2">
      <c r="F57" s="50"/>
    </row>
    <row r="58" spans="1:21" x14ac:dyDescent="0.2">
      <c r="F58" s="50"/>
    </row>
    <row r="59" spans="1:21" x14ac:dyDescent="0.2">
      <c r="F59" s="50"/>
    </row>
  </sheetData>
  <pageMargins left="0.75" right="0.75" top="1" bottom="1" header="0.5" footer="0.5"/>
  <pageSetup firstPageNumber="12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777C-3B91-491C-ACDF-90BF126F3865}">
  <sheetPr>
    <pageSetUpPr fitToPage="1"/>
  </sheetPr>
  <dimension ref="A1:AS69"/>
  <sheetViews>
    <sheetView workbookViewId="0"/>
  </sheetViews>
  <sheetFormatPr defaultRowHeight="10.199999999999999" x14ac:dyDescent="0.2"/>
  <cols>
    <col min="1" max="1" width="7.42578125" customWidth="1"/>
    <col min="2" max="7" width="8.85546875" customWidth="1"/>
    <col min="8" max="8" width="13.28515625" customWidth="1"/>
    <col min="9" max="9" width="8.85546875" customWidth="1"/>
    <col min="10" max="10" width="11.42578125" customWidth="1"/>
    <col min="11" max="16" width="8.85546875" customWidth="1"/>
    <col min="17" max="17" width="10" customWidth="1"/>
  </cols>
  <sheetData>
    <row r="1" spans="1:19" x14ac:dyDescent="0.2">
      <c r="A1" s="15" t="s">
        <v>181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 t="s">
        <v>50</v>
      </c>
      <c r="P1" s="15"/>
      <c r="Q1" s="15" t="s">
        <v>50</v>
      </c>
    </row>
    <row r="2" spans="1:19" x14ac:dyDescent="0.2">
      <c r="A2" t="s">
        <v>114</v>
      </c>
      <c r="B2" s="37"/>
      <c r="C2" s="20"/>
      <c r="D2" s="18" t="s">
        <v>115</v>
      </c>
      <c r="E2" s="18"/>
      <c r="F2" s="18"/>
      <c r="G2" s="18"/>
      <c r="H2" s="36"/>
      <c r="I2" s="18"/>
      <c r="J2" s="18"/>
      <c r="K2" s="66" t="s">
        <v>116</v>
      </c>
      <c r="L2" s="18"/>
      <c r="M2" s="36"/>
      <c r="N2" s="33"/>
      <c r="O2" s="37" t="s">
        <v>117</v>
      </c>
      <c r="P2" s="36"/>
      <c r="Q2" s="39" t="s">
        <v>118</v>
      </c>
    </row>
    <row r="3" spans="1:19" x14ac:dyDescent="0.2">
      <c r="A3" s="15" t="s">
        <v>119</v>
      </c>
      <c r="B3" s="44" t="s">
        <v>120</v>
      </c>
      <c r="C3" s="20" t="s">
        <v>121</v>
      </c>
      <c r="D3" s="20" t="s">
        <v>122</v>
      </c>
      <c r="E3" s="20" t="s">
        <v>123</v>
      </c>
      <c r="F3" s="20" t="s">
        <v>124</v>
      </c>
      <c r="G3" s="20" t="s">
        <v>186</v>
      </c>
      <c r="H3" s="45" t="s">
        <v>39</v>
      </c>
      <c r="I3" s="20" t="s">
        <v>125</v>
      </c>
      <c r="J3" s="20" t="s">
        <v>126</v>
      </c>
      <c r="K3" s="20" t="s">
        <v>127</v>
      </c>
      <c r="L3" s="20" t="s">
        <v>128</v>
      </c>
      <c r="M3" s="45" t="s">
        <v>39</v>
      </c>
      <c r="N3" s="20" t="s">
        <v>129</v>
      </c>
      <c r="O3" s="20" t="s">
        <v>130</v>
      </c>
      <c r="P3" s="45" t="s">
        <v>39</v>
      </c>
      <c r="Q3" s="20" t="s">
        <v>131</v>
      </c>
    </row>
    <row r="4" spans="1:19" x14ac:dyDescent="0.2">
      <c r="A4" t="s">
        <v>50</v>
      </c>
      <c r="C4" s="67"/>
      <c r="D4" s="67"/>
      <c r="E4" s="67"/>
      <c r="F4" s="67"/>
      <c r="G4" s="67"/>
      <c r="H4" s="67"/>
      <c r="I4" s="67"/>
      <c r="J4" s="67" t="s">
        <v>132</v>
      </c>
      <c r="K4" s="67"/>
      <c r="L4" s="67"/>
      <c r="M4" s="67"/>
      <c r="N4" s="67"/>
      <c r="O4" s="67"/>
      <c r="P4" s="67"/>
      <c r="Q4" s="67"/>
    </row>
    <row r="5" spans="1:19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x14ac:dyDescent="0.2">
      <c r="A6" t="s">
        <v>133</v>
      </c>
      <c r="B6" s="28">
        <v>209</v>
      </c>
      <c r="C6" s="28">
        <v>65</v>
      </c>
      <c r="D6" s="28">
        <v>530</v>
      </c>
      <c r="E6" s="28">
        <v>15</v>
      </c>
      <c r="F6" s="28">
        <v>7.5</v>
      </c>
      <c r="G6" s="28" t="s">
        <v>134</v>
      </c>
      <c r="H6" s="28">
        <f t="shared" ref="H6:H50" si="0">SUM(B6:G6)</f>
        <v>826.5</v>
      </c>
      <c r="I6" s="28">
        <v>123</v>
      </c>
      <c r="J6" s="28">
        <v>290</v>
      </c>
      <c r="K6" s="28">
        <v>8.9</v>
      </c>
      <c r="L6" s="28" t="s">
        <v>134</v>
      </c>
      <c r="M6" s="28">
        <f t="shared" ref="M6:M50" si="1">SUM(I6:L6)</f>
        <v>421.9</v>
      </c>
      <c r="N6" s="28">
        <v>104</v>
      </c>
      <c r="O6" s="28">
        <v>169</v>
      </c>
      <c r="P6" s="28">
        <f t="shared" ref="P6:P31" si="2">SUM(N6:O6)</f>
        <v>273</v>
      </c>
      <c r="Q6" s="84">
        <f t="shared" ref="Q6:Q50" si="3">H6+M6+P6</f>
        <v>1521.4</v>
      </c>
      <c r="R6" s="55"/>
      <c r="S6" s="55"/>
    </row>
    <row r="7" spans="1:19" x14ac:dyDescent="0.2">
      <c r="A7" t="s">
        <v>135</v>
      </c>
      <c r="B7" s="28">
        <v>224</v>
      </c>
      <c r="C7" s="28">
        <v>69</v>
      </c>
      <c r="D7" s="28">
        <v>570</v>
      </c>
      <c r="E7" s="28">
        <v>15</v>
      </c>
      <c r="F7" s="28">
        <v>7</v>
      </c>
      <c r="G7" s="28" t="s">
        <v>134</v>
      </c>
      <c r="H7" s="28">
        <f t="shared" si="0"/>
        <v>885</v>
      </c>
      <c r="I7" s="28">
        <v>95</v>
      </c>
      <c r="J7" s="28">
        <v>244</v>
      </c>
      <c r="K7" s="28">
        <v>10</v>
      </c>
      <c r="L7" s="28" t="s">
        <v>134</v>
      </c>
      <c r="M7" s="28">
        <f t="shared" si="1"/>
        <v>349</v>
      </c>
      <c r="N7" s="28">
        <v>105</v>
      </c>
      <c r="O7" s="28">
        <v>175</v>
      </c>
      <c r="P7" s="28">
        <f t="shared" si="2"/>
        <v>280</v>
      </c>
      <c r="Q7" s="84">
        <f t="shared" si="3"/>
        <v>1514</v>
      </c>
      <c r="R7" s="55"/>
      <c r="S7" s="55"/>
    </row>
    <row r="8" spans="1:19" x14ac:dyDescent="0.2">
      <c r="A8" t="s">
        <v>136</v>
      </c>
      <c r="B8" s="28">
        <v>179</v>
      </c>
      <c r="C8" s="28">
        <v>59</v>
      </c>
      <c r="D8" s="28">
        <v>475</v>
      </c>
      <c r="E8" s="28">
        <v>12</v>
      </c>
      <c r="F8" s="28" t="s">
        <v>134</v>
      </c>
      <c r="G8" s="28" t="s">
        <v>134</v>
      </c>
      <c r="H8" s="28">
        <f t="shared" si="0"/>
        <v>725</v>
      </c>
      <c r="I8" s="28">
        <v>88</v>
      </c>
      <c r="J8" s="28">
        <v>240</v>
      </c>
      <c r="K8" s="28">
        <v>10.4</v>
      </c>
      <c r="L8" s="28" t="s">
        <v>134</v>
      </c>
      <c r="M8" s="28">
        <f t="shared" si="1"/>
        <v>338.4</v>
      </c>
      <c r="N8" s="28">
        <v>96</v>
      </c>
      <c r="O8" s="28">
        <v>152</v>
      </c>
      <c r="P8" s="28">
        <f t="shared" si="2"/>
        <v>248</v>
      </c>
      <c r="Q8" s="84">
        <f t="shared" si="3"/>
        <v>1311.4</v>
      </c>
      <c r="R8" s="55"/>
      <c r="S8" s="55"/>
    </row>
    <row r="9" spans="1:19" x14ac:dyDescent="0.2">
      <c r="A9" t="s">
        <v>137</v>
      </c>
      <c r="B9" s="28">
        <v>182</v>
      </c>
      <c r="C9" s="28">
        <v>69</v>
      </c>
      <c r="D9" s="28">
        <v>567</v>
      </c>
      <c r="E9" s="28">
        <v>13</v>
      </c>
      <c r="F9" s="28" t="s">
        <v>134</v>
      </c>
      <c r="G9" s="28" t="s">
        <v>134</v>
      </c>
      <c r="H9" s="28">
        <f t="shared" si="0"/>
        <v>831</v>
      </c>
      <c r="I9" s="28">
        <v>93</v>
      </c>
      <c r="J9" s="28">
        <v>230</v>
      </c>
      <c r="K9" s="28">
        <v>11</v>
      </c>
      <c r="L9" s="28" t="s">
        <v>134</v>
      </c>
      <c r="M9" s="28">
        <f t="shared" si="1"/>
        <v>334</v>
      </c>
      <c r="N9" s="28">
        <v>96</v>
      </c>
      <c r="O9" s="28">
        <v>150</v>
      </c>
      <c r="P9" s="28">
        <f t="shared" si="2"/>
        <v>246</v>
      </c>
      <c r="Q9" s="84">
        <f t="shared" si="3"/>
        <v>1411</v>
      </c>
      <c r="R9" s="55"/>
      <c r="S9" s="55"/>
    </row>
    <row r="10" spans="1:19" x14ac:dyDescent="0.2">
      <c r="A10" t="s">
        <v>138</v>
      </c>
      <c r="B10" s="28">
        <v>221</v>
      </c>
      <c r="C10" s="28">
        <v>85</v>
      </c>
      <c r="D10" s="28">
        <v>643</v>
      </c>
      <c r="E10" s="28">
        <v>15</v>
      </c>
      <c r="F10" s="28" t="s">
        <v>134</v>
      </c>
      <c r="G10" s="28" t="s">
        <v>134</v>
      </c>
      <c r="H10" s="28">
        <f t="shared" si="0"/>
        <v>964</v>
      </c>
      <c r="I10" s="28">
        <v>93</v>
      </c>
      <c r="J10" s="28">
        <v>232</v>
      </c>
      <c r="K10" s="28">
        <v>14.6</v>
      </c>
      <c r="L10" s="28" t="s">
        <v>134</v>
      </c>
      <c r="M10" s="28">
        <f t="shared" si="1"/>
        <v>339.6</v>
      </c>
      <c r="N10" s="28">
        <v>98</v>
      </c>
      <c r="O10" s="28">
        <v>157</v>
      </c>
      <c r="P10" s="28">
        <f t="shared" si="2"/>
        <v>255</v>
      </c>
      <c r="Q10" s="84">
        <f t="shared" si="3"/>
        <v>1558.6</v>
      </c>
      <c r="R10" s="55"/>
      <c r="S10" s="55"/>
    </row>
    <row r="11" spans="1:19" x14ac:dyDescent="0.2">
      <c r="A11" t="s">
        <v>139</v>
      </c>
      <c r="B11" s="28">
        <v>201</v>
      </c>
      <c r="C11" s="28">
        <v>80</v>
      </c>
      <c r="D11" s="28">
        <v>595</v>
      </c>
      <c r="E11" s="28">
        <v>12</v>
      </c>
      <c r="F11" s="28" t="s">
        <v>134</v>
      </c>
      <c r="G11" s="28" t="s">
        <v>134</v>
      </c>
      <c r="H11" s="28">
        <f t="shared" si="0"/>
        <v>888</v>
      </c>
      <c r="I11" s="28">
        <v>87</v>
      </c>
      <c r="J11" s="28">
        <v>252</v>
      </c>
      <c r="K11" s="28">
        <v>12.4</v>
      </c>
      <c r="L11" s="28" t="s">
        <v>134</v>
      </c>
      <c r="M11" s="28">
        <f t="shared" si="1"/>
        <v>351.4</v>
      </c>
      <c r="N11" s="28">
        <v>96</v>
      </c>
      <c r="O11" s="28">
        <v>155</v>
      </c>
      <c r="P11" s="28">
        <f t="shared" si="2"/>
        <v>251</v>
      </c>
      <c r="Q11" s="84">
        <f t="shared" si="3"/>
        <v>1490.4</v>
      </c>
      <c r="R11" s="55"/>
      <c r="S11" s="55"/>
    </row>
    <row r="12" spans="1:19" x14ac:dyDescent="0.2">
      <c r="A12" t="s">
        <v>140</v>
      </c>
      <c r="B12" s="28">
        <v>220</v>
      </c>
      <c r="C12" s="28">
        <v>94</v>
      </c>
      <c r="D12" s="28">
        <v>675</v>
      </c>
      <c r="E12" s="28">
        <v>12</v>
      </c>
      <c r="F12" s="28" t="s">
        <v>134</v>
      </c>
      <c r="G12" s="28" t="s">
        <v>134</v>
      </c>
      <c r="H12" s="28">
        <f t="shared" si="0"/>
        <v>1001</v>
      </c>
      <c r="I12" s="28">
        <v>92</v>
      </c>
      <c r="J12" s="28">
        <v>225</v>
      </c>
      <c r="K12" s="28">
        <v>12.7</v>
      </c>
      <c r="L12" s="28" t="s">
        <v>134</v>
      </c>
      <c r="M12" s="28">
        <f t="shared" si="1"/>
        <v>329.7</v>
      </c>
      <c r="N12" s="28">
        <v>89</v>
      </c>
      <c r="O12" s="28">
        <v>145</v>
      </c>
      <c r="P12" s="28">
        <f t="shared" si="2"/>
        <v>234</v>
      </c>
      <c r="Q12" s="84">
        <f t="shared" si="3"/>
        <v>1564.7</v>
      </c>
      <c r="R12" s="55"/>
      <c r="S12" s="55"/>
    </row>
    <row r="13" spans="1:19" x14ac:dyDescent="0.2">
      <c r="A13" t="s">
        <v>141</v>
      </c>
      <c r="B13" s="28">
        <v>221</v>
      </c>
      <c r="C13" s="28">
        <v>91</v>
      </c>
      <c r="D13" s="28">
        <v>635</v>
      </c>
      <c r="E13" s="28">
        <v>13</v>
      </c>
      <c r="F13" s="28" t="s">
        <v>134</v>
      </c>
      <c r="G13" s="28" t="s">
        <v>134</v>
      </c>
      <c r="H13" s="28">
        <f t="shared" si="0"/>
        <v>960</v>
      </c>
      <c r="I13" s="28">
        <v>100</v>
      </c>
      <c r="J13" s="28">
        <v>254</v>
      </c>
      <c r="K13" s="28">
        <v>12.4</v>
      </c>
      <c r="L13" s="28" t="s">
        <v>134</v>
      </c>
      <c r="M13" s="28">
        <f t="shared" si="1"/>
        <v>366.4</v>
      </c>
      <c r="N13" s="28">
        <v>91</v>
      </c>
      <c r="O13" s="28">
        <v>150</v>
      </c>
      <c r="P13" s="28">
        <f t="shared" si="2"/>
        <v>241</v>
      </c>
      <c r="Q13" s="84">
        <f t="shared" si="3"/>
        <v>1567.4</v>
      </c>
      <c r="R13" s="55"/>
      <c r="S13" s="55"/>
    </row>
    <row r="14" spans="1:19" x14ac:dyDescent="0.2">
      <c r="A14" t="s">
        <v>142</v>
      </c>
      <c r="B14" s="28">
        <v>237</v>
      </c>
      <c r="C14" s="28">
        <v>98</v>
      </c>
      <c r="D14" s="28">
        <v>690</v>
      </c>
      <c r="E14" s="28">
        <v>13</v>
      </c>
      <c r="F14" s="28" t="s">
        <v>134</v>
      </c>
      <c r="G14" s="28" t="s">
        <v>134</v>
      </c>
      <c r="H14" s="28">
        <f t="shared" si="0"/>
        <v>1038</v>
      </c>
      <c r="I14" s="28">
        <v>99</v>
      </c>
      <c r="J14" s="28">
        <v>260</v>
      </c>
      <c r="K14" s="28">
        <v>13.4</v>
      </c>
      <c r="L14" s="28" t="s">
        <v>134</v>
      </c>
      <c r="M14" s="28">
        <f t="shared" si="1"/>
        <v>372.4</v>
      </c>
      <c r="N14" s="28">
        <v>92</v>
      </c>
      <c r="O14" s="28">
        <v>155</v>
      </c>
      <c r="P14" s="28">
        <f t="shared" si="2"/>
        <v>247</v>
      </c>
      <c r="Q14" s="84">
        <f t="shared" si="3"/>
        <v>1657.4</v>
      </c>
      <c r="R14" s="55"/>
      <c r="S14" s="55"/>
    </row>
    <row r="15" spans="1:19" x14ac:dyDescent="0.2">
      <c r="A15" t="s">
        <v>143</v>
      </c>
      <c r="B15" s="28">
        <v>240</v>
      </c>
      <c r="C15" s="28">
        <v>95</v>
      </c>
      <c r="D15" s="28">
        <v>690</v>
      </c>
      <c r="E15" s="28">
        <v>13</v>
      </c>
      <c r="F15" s="28" t="s">
        <v>134</v>
      </c>
      <c r="G15" s="28" t="s">
        <v>134</v>
      </c>
      <c r="H15" s="28">
        <f t="shared" si="0"/>
        <v>1038</v>
      </c>
      <c r="I15" s="28">
        <v>99</v>
      </c>
      <c r="J15" s="28">
        <v>265</v>
      </c>
      <c r="K15" s="28">
        <v>18.2</v>
      </c>
      <c r="L15" s="28" t="s">
        <v>134</v>
      </c>
      <c r="M15" s="28">
        <f t="shared" si="1"/>
        <v>382.2</v>
      </c>
      <c r="N15" s="28">
        <v>92</v>
      </c>
      <c r="O15" s="28">
        <v>153</v>
      </c>
      <c r="P15" s="28">
        <f t="shared" si="2"/>
        <v>245</v>
      </c>
      <c r="Q15" s="84">
        <f t="shared" si="3"/>
        <v>1665.2</v>
      </c>
      <c r="R15" s="55"/>
      <c r="S15" s="55"/>
    </row>
    <row r="16" spans="1:19" x14ac:dyDescent="0.2">
      <c r="A16" t="s">
        <v>144</v>
      </c>
      <c r="B16" s="28">
        <v>258</v>
      </c>
      <c r="C16" s="28">
        <v>108</v>
      </c>
      <c r="D16" s="28">
        <v>782</v>
      </c>
      <c r="E16" s="28">
        <v>14</v>
      </c>
      <c r="F16" s="28" t="s">
        <v>134</v>
      </c>
      <c r="G16" s="28" t="s">
        <v>134</v>
      </c>
      <c r="H16" s="28">
        <f t="shared" si="0"/>
        <v>1162</v>
      </c>
      <c r="I16" s="28">
        <v>107</v>
      </c>
      <c r="J16" s="28">
        <v>295</v>
      </c>
      <c r="K16" s="28">
        <v>20</v>
      </c>
      <c r="L16" s="28" t="s">
        <v>134</v>
      </c>
      <c r="M16" s="28">
        <f t="shared" si="1"/>
        <v>422</v>
      </c>
      <c r="N16" s="28">
        <v>97</v>
      </c>
      <c r="O16" s="28">
        <v>165</v>
      </c>
      <c r="P16" s="28">
        <f t="shared" si="2"/>
        <v>262</v>
      </c>
      <c r="Q16" s="84">
        <f t="shared" si="3"/>
        <v>1846</v>
      </c>
      <c r="R16" s="55"/>
      <c r="S16" s="55"/>
    </row>
    <row r="17" spans="1:45" x14ac:dyDescent="0.2">
      <c r="A17" t="s">
        <v>145</v>
      </c>
      <c r="B17" s="28">
        <v>278</v>
      </c>
      <c r="C17" s="28">
        <v>126</v>
      </c>
      <c r="D17" s="28">
        <v>900</v>
      </c>
      <c r="E17" s="28">
        <v>14.5</v>
      </c>
      <c r="F17" s="28" t="s">
        <v>134</v>
      </c>
      <c r="G17" s="28" t="s">
        <v>134</v>
      </c>
      <c r="H17" s="28">
        <f t="shared" si="0"/>
        <v>1318.5</v>
      </c>
      <c r="I17" s="28">
        <v>110</v>
      </c>
      <c r="J17" s="28">
        <v>330</v>
      </c>
      <c r="K17" s="28">
        <v>22.7</v>
      </c>
      <c r="L17" s="28" t="s">
        <v>134</v>
      </c>
      <c r="M17" s="28">
        <f t="shared" si="1"/>
        <v>462.7</v>
      </c>
      <c r="N17" s="28">
        <v>96</v>
      </c>
      <c r="O17" s="28">
        <v>162</v>
      </c>
      <c r="P17" s="28">
        <f t="shared" si="2"/>
        <v>258</v>
      </c>
      <c r="Q17" s="84">
        <f t="shared" si="3"/>
        <v>2039.2</v>
      </c>
      <c r="R17" s="55"/>
      <c r="S17" s="55"/>
    </row>
    <row r="18" spans="1:45" x14ac:dyDescent="0.2">
      <c r="A18" t="s">
        <v>146</v>
      </c>
      <c r="B18" s="28">
        <v>237</v>
      </c>
      <c r="C18" s="28">
        <v>85</v>
      </c>
      <c r="D18" s="28">
        <v>675</v>
      </c>
      <c r="E18" s="28">
        <v>13.5</v>
      </c>
      <c r="F18" s="28" t="s">
        <v>134</v>
      </c>
      <c r="G18" s="28" t="s">
        <v>134</v>
      </c>
      <c r="H18" s="28">
        <f t="shared" si="0"/>
        <v>1010.5</v>
      </c>
      <c r="I18" s="28">
        <v>100</v>
      </c>
      <c r="J18" s="28">
        <v>308</v>
      </c>
      <c r="K18" s="28">
        <v>21.1</v>
      </c>
      <c r="L18" s="28" t="s">
        <v>134</v>
      </c>
      <c r="M18" s="28">
        <f t="shared" si="1"/>
        <v>429.1</v>
      </c>
      <c r="N18" s="28">
        <v>94</v>
      </c>
      <c r="O18" s="28">
        <v>153</v>
      </c>
      <c r="P18" s="28">
        <f t="shared" si="2"/>
        <v>247</v>
      </c>
      <c r="Q18" s="84">
        <f t="shared" si="3"/>
        <v>1686.6</v>
      </c>
      <c r="R18" s="55"/>
      <c r="S18" s="55"/>
    </row>
    <row r="19" spans="1:45" x14ac:dyDescent="0.2">
      <c r="A19" t="s">
        <v>147</v>
      </c>
      <c r="B19" s="28">
        <v>240</v>
      </c>
      <c r="C19" s="28">
        <v>98</v>
      </c>
      <c r="D19" s="28">
        <v>702</v>
      </c>
      <c r="E19" s="28">
        <v>14.5</v>
      </c>
      <c r="F19" s="28" t="s">
        <v>134</v>
      </c>
      <c r="G19" s="28" t="s">
        <v>134</v>
      </c>
      <c r="H19" s="28">
        <f t="shared" si="0"/>
        <v>1054.5</v>
      </c>
      <c r="I19" s="28">
        <v>105</v>
      </c>
      <c r="J19" s="28">
        <v>305</v>
      </c>
      <c r="K19" s="28">
        <v>22</v>
      </c>
      <c r="L19" s="28" t="s">
        <v>134</v>
      </c>
      <c r="M19" s="28">
        <f t="shared" si="1"/>
        <v>432</v>
      </c>
      <c r="N19" s="28">
        <v>95</v>
      </c>
      <c r="O19" s="28">
        <v>152</v>
      </c>
      <c r="P19" s="28">
        <f t="shared" si="2"/>
        <v>247</v>
      </c>
      <c r="Q19" s="84">
        <f t="shared" si="3"/>
        <v>1733.5</v>
      </c>
      <c r="R19" s="55"/>
      <c r="S19" s="55"/>
    </row>
    <row r="20" spans="1:45" x14ac:dyDescent="0.2">
      <c r="A20" t="s">
        <v>148</v>
      </c>
      <c r="B20" s="28">
        <v>223</v>
      </c>
      <c r="C20" s="28">
        <v>92</v>
      </c>
      <c r="D20" s="28">
        <v>652</v>
      </c>
      <c r="E20" s="28">
        <v>13</v>
      </c>
      <c r="F20" s="28" t="s">
        <v>134</v>
      </c>
      <c r="G20" s="28" t="s">
        <v>134</v>
      </c>
      <c r="H20" s="28">
        <f t="shared" si="0"/>
        <v>980</v>
      </c>
      <c r="I20" s="28">
        <v>102</v>
      </c>
      <c r="J20" s="28">
        <v>295</v>
      </c>
      <c r="K20" s="28">
        <v>21</v>
      </c>
      <c r="L20" s="28" t="s">
        <v>134</v>
      </c>
      <c r="M20" s="28">
        <f t="shared" si="1"/>
        <v>418</v>
      </c>
      <c r="N20" s="28">
        <v>92</v>
      </c>
      <c r="O20" s="28">
        <v>151</v>
      </c>
      <c r="P20" s="28">
        <f t="shared" si="2"/>
        <v>243</v>
      </c>
      <c r="Q20" s="84">
        <f t="shared" si="3"/>
        <v>1641</v>
      </c>
      <c r="R20" s="55"/>
      <c r="S20" s="55"/>
    </row>
    <row r="21" spans="1:45" x14ac:dyDescent="0.2">
      <c r="A21" t="s">
        <v>149</v>
      </c>
      <c r="B21" s="28">
        <v>213</v>
      </c>
      <c r="C21" s="28">
        <v>89</v>
      </c>
      <c r="D21" s="28">
        <v>595</v>
      </c>
      <c r="E21" s="28">
        <v>11.5</v>
      </c>
      <c r="F21" s="28" t="s">
        <v>134</v>
      </c>
      <c r="G21" s="28" t="s">
        <v>134</v>
      </c>
      <c r="H21" s="28">
        <f t="shared" si="0"/>
        <v>908.5</v>
      </c>
      <c r="I21" s="28">
        <v>100</v>
      </c>
      <c r="J21" s="28">
        <v>275</v>
      </c>
      <c r="K21" s="28">
        <v>20</v>
      </c>
      <c r="L21" s="28" t="s">
        <v>134</v>
      </c>
      <c r="M21" s="28">
        <f t="shared" si="1"/>
        <v>395</v>
      </c>
      <c r="N21" s="28">
        <v>90</v>
      </c>
      <c r="O21" s="28">
        <v>144</v>
      </c>
      <c r="P21" s="28">
        <f t="shared" si="2"/>
        <v>234</v>
      </c>
      <c r="Q21" s="84">
        <f t="shared" si="3"/>
        <v>1537.5</v>
      </c>
      <c r="R21" s="55"/>
      <c r="S21" s="55"/>
    </row>
    <row r="22" spans="1:45" x14ac:dyDescent="0.2">
      <c r="A22" t="s">
        <v>150</v>
      </c>
      <c r="B22" s="28">
        <v>192</v>
      </c>
      <c r="C22" s="28">
        <v>90</v>
      </c>
      <c r="D22" s="28">
        <v>535</v>
      </c>
      <c r="E22" s="28">
        <v>11</v>
      </c>
      <c r="F22" s="28" t="s">
        <v>134</v>
      </c>
      <c r="G22" s="28" t="s">
        <v>134</v>
      </c>
      <c r="H22" s="28">
        <f t="shared" si="0"/>
        <v>828</v>
      </c>
      <c r="I22" s="28">
        <v>85</v>
      </c>
      <c r="J22" s="28">
        <v>270</v>
      </c>
      <c r="K22" s="28">
        <v>16.5</v>
      </c>
      <c r="L22" s="28" t="s">
        <v>134</v>
      </c>
      <c r="M22" s="28">
        <f t="shared" si="1"/>
        <v>371.5</v>
      </c>
      <c r="N22" s="28">
        <v>77</v>
      </c>
      <c r="O22" s="28">
        <v>125</v>
      </c>
      <c r="P22" s="28">
        <f t="shared" si="2"/>
        <v>202</v>
      </c>
      <c r="Q22" s="84">
        <f t="shared" si="3"/>
        <v>1401.5</v>
      </c>
      <c r="R22" s="55"/>
      <c r="S22" s="55"/>
    </row>
    <row r="23" spans="1:45" x14ac:dyDescent="0.2">
      <c r="A23" t="s">
        <v>151</v>
      </c>
      <c r="B23" s="28">
        <v>194</v>
      </c>
      <c r="C23" s="28">
        <v>92</v>
      </c>
      <c r="D23" s="28">
        <v>520</v>
      </c>
      <c r="E23" s="28">
        <v>11</v>
      </c>
      <c r="F23" s="28" t="s">
        <v>134</v>
      </c>
      <c r="G23" s="28" t="s">
        <v>134</v>
      </c>
      <c r="H23" s="28">
        <f t="shared" si="0"/>
        <v>817</v>
      </c>
      <c r="I23" s="28">
        <v>79</v>
      </c>
      <c r="J23" s="28">
        <v>320</v>
      </c>
      <c r="K23" s="28">
        <v>18</v>
      </c>
      <c r="L23" s="28" t="s">
        <v>134</v>
      </c>
      <c r="M23" s="28">
        <f t="shared" si="1"/>
        <v>417</v>
      </c>
      <c r="N23" s="28">
        <v>76</v>
      </c>
      <c r="O23" s="28">
        <v>124</v>
      </c>
      <c r="P23" s="28">
        <f t="shared" si="2"/>
        <v>200</v>
      </c>
      <c r="Q23" s="84">
        <f t="shared" si="3"/>
        <v>1434</v>
      </c>
      <c r="R23" s="55"/>
      <c r="S23" s="55"/>
    </row>
    <row r="24" spans="1:45" x14ac:dyDescent="0.2">
      <c r="A24" t="s">
        <v>152</v>
      </c>
      <c r="B24" s="28">
        <v>198</v>
      </c>
      <c r="C24" s="28">
        <v>98</v>
      </c>
      <c r="D24" s="28">
        <v>540</v>
      </c>
      <c r="E24" s="28">
        <v>12</v>
      </c>
      <c r="F24" s="28" t="s">
        <v>134</v>
      </c>
      <c r="G24" s="28" t="s">
        <v>134</v>
      </c>
      <c r="H24" s="28">
        <f t="shared" si="0"/>
        <v>848</v>
      </c>
      <c r="I24" s="28">
        <v>80</v>
      </c>
      <c r="J24" s="28">
        <v>370</v>
      </c>
      <c r="K24" s="28">
        <v>22</v>
      </c>
      <c r="L24" s="28" t="s">
        <v>134</v>
      </c>
      <c r="M24" s="28">
        <f t="shared" si="1"/>
        <v>472</v>
      </c>
      <c r="N24" s="28">
        <v>76</v>
      </c>
      <c r="O24" s="28">
        <v>125</v>
      </c>
      <c r="P24" s="28">
        <f t="shared" si="2"/>
        <v>201</v>
      </c>
      <c r="Q24" s="84">
        <f t="shared" si="3"/>
        <v>1521</v>
      </c>
      <c r="R24" s="55"/>
      <c r="S24" s="55"/>
    </row>
    <row r="25" spans="1:45" x14ac:dyDescent="0.2">
      <c r="A25" t="s">
        <v>153</v>
      </c>
      <c r="B25" s="28">
        <v>207</v>
      </c>
      <c r="C25" s="28">
        <v>102</v>
      </c>
      <c r="D25" s="28">
        <v>546</v>
      </c>
      <c r="E25" s="28">
        <v>11.5</v>
      </c>
      <c r="F25" s="28" t="s">
        <v>134</v>
      </c>
      <c r="G25" s="28" t="s">
        <v>134</v>
      </c>
      <c r="H25" s="28">
        <f t="shared" si="0"/>
        <v>866.5</v>
      </c>
      <c r="I25" s="28">
        <v>83</v>
      </c>
      <c r="J25" s="28">
        <v>360</v>
      </c>
      <c r="K25" s="28">
        <v>22</v>
      </c>
      <c r="L25" s="28" t="s">
        <v>134</v>
      </c>
      <c r="M25" s="28">
        <f t="shared" si="1"/>
        <v>465</v>
      </c>
      <c r="N25" s="28">
        <v>77</v>
      </c>
      <c r="O25" s="28">
        <v>126</v>
      </c>
      <c r="P25" s="28">
        <f t="shared" si="2"/>
        <v>203</v>
      </c>
      <c r="Q25" s="84">
        <f t="shared" si="3"/>
        <v>1534.5</v>
      </c>
      <c r="R25" s="55"/>
      <c r="S25" s="55"/>
    </row>
    <row r="26" spans="1:45" x14ac:dyDescent="0.2">
      <c r="A26" t="s">
        <v>154</v>
      </c>
      <c r="B26" s="28">
        <v>190</v>
      </c>
      <c r="C26" s="28">
        <v>94</v>
      </c>
      <c r="D26" s="28">
        <v>494</v>
      </c>
      <c r="E26" s="28">
        <v>10.5</v>
      </c>
      <c r="F26" s="28" t="s">
        <v>134</v>
      </c>
      <c r="G26" s="28" t="s">
        <v>134</v>
      </c>
      <c r="H26" s="28">
        <f t="shared" si="0"/>
        <v>788.5</v>
      </c>
      <c r="I26" s="28">
        <v>97</v>
      </c>
      <c r="J26" s="28">
        <v>425</v>
      </c>
      <c r="K26" s="28">
        <v>27.3</v>
      </c>
      <c r="L26" s="28" t="s">
        <v>134</v>
      </c>
      <c r="M26" s="28">
        <f t="shared" si="1"/>
        <v>549.29999999999995</v>
      </c>
      <c r="N26" s="28">
        <v>76</v>
      </c>
      <c r="O26" s="28">
        <v>123</v>
      </c>
      <c r="P26" s="28">
        <f t="shared" si="2"/>
        <v>199</v>
      </c>
      <c r="Q26" s="84">
        <f t="shared" si="3"/>
        <v>1536.8</v>
      </c>
      <c r="R26" s="55"/>
      <c r="S26" s="55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</row>
    <row r="27" spans="1:45" x14ac:dyDescent="0.2">
      <c r="A27" t="s">
        <v>155</v>
      </c>
      <c r="B27" s="28">
        <v>200</v>
      </c>
      <c r="C27" s="28">
        <v>90</v>
      </c>
      <c r="D27" s="28">
        <v>515</v>
      </c>
      <c r="E27" s="28">
        <v>11</v>
      </c>
      <c r="F27" s="28" t="s">
        <v>134</v>
      </c>
      <c r="G27" s="28" t="s">
        <v>134</v>
      </c>
      <c r="H27" s="28">
        <f t="shared" si="0"/>
        <v>816</v>
      </c>
      <c r="I27" s="28">
        <v>80</v>
      </c>
      <c r="J27" s="28">
        <v>425</v>
      </c>
      <c r="K27" s="28">
        <v>22.2</v>
      </c>
      <c r="L27" s="28" t="s">
        <v>134</v>
      </c>
      <c r="M27" s="28">
        <f t="shared" si="1"/>
        <v>527.20000000000005</v>
      </c>
      <c r="N27" s="28">
        <v>75</v>
      </c>
      <c r="O27" s="28">
        <v>123</v>
      </c>
      <c r="P27" s="28">
        <f t="shared" si="2"/>
        <v>198</v>
      </c>
      <c r="Q27" s="84">
        <f t="shared" si="3"/>
        <v>1541.2</v>
      </c>
      <c r="R27" s="55"/>
      <c r="S27" s="55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</row>
    <row r="28" spans="1:45" x14ac:dyDescent="0.2">
      <c r="A28" t="s">
        <v>156</v>
      </c>
      <c r="B28" s="28">
        <v>185</v>
      </c>
      <c r="C28" s="28">
        <v>96</v>
      </c>
      <c r="D28" s="28">
        <v>510</v>
      </c>
      <c r="E28" s="28">
        <v>10</v>
      </c>
      <c r="F28" s="28" t="s">
        <v>134</v>
      </c>
      <c r="G28" s="28" t="s">
        <v>134</v>
      </c>
      <c r="H28" s="28">
        <f t="shared" si="0"/>
        <v>801</v>
      </c>
      <c r="I28" s="28">
        <v>60</v>
      </c>
      <c r="J28" s="28">
        <v>315</v>
      </c>
      <c r="K28" s="28">
        <v>18</v>
      </c>
      <c r="L28" s="28" t="s">
        <v>134</v>
      </c>
      <c r="M28" s="28">
        <f t="shared" si="1"/>
        <v>393</v>
      </c>
      <c r="N28" s="28">
        <v>58</v>
      </c>
      <c r="O28" s="28">
        <v>101</v>
      </c>
      <c r="P28" s="28">
        <f t="shared" si="2"/>
        <v>159</v>
      </c>
      <c r="Q28" s="84">
        <f t="shared" si="3"/>
        <v>1353</v>
      </c>
      <c r="R28" s="55"/>
      <c r="S28" s="55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</row>
    <row r="29" spans="1:45" x14ac:dyDescent="0.2">
      <c r="A29" t="s">
        <v>157</v>
      </c>
      <c r="B29" s="28">
        <v>190</v>
      </c>
      <c r="C29" s="28">
        <v>125</v>
      </c>
      <c r="D29" s="28">
        <v>545</v>
      </c>
      <c r="E29" s="28">
        <v>19</v>
      </c>
      <c r="F29" s="28" t="s">
        <v>134</v>
      </c>
      <c r="G29" s="28" t="s">
        <v>134</v>
      </c>
      <c r="H29" s="28">
        <f t="shared" si="0"/>
        <v>879</v>
      </c>
      <c r="I29" s="28">
        <v>37</v>
      </c>
      <c r="J29" s="28">
        <v>275</v>
      </c>
      <c r="K29" s="28">
        <v>18</v>
      </c>
      <c r="L29" s="28" t="s">
        <v>134</v>
      </c>
      <c r="M29" s="28">
        <f t="shared" si="1"/>
        <v>330</v>
      </c>
      <c r="N29" s="28">
        <v>34</v>
      </c>
      <c r="O29" s="28">
        <v>101</v>
      </c>
      <c r="P29" s="28">
        <f t="shared" si="2"/>
        <v>135</v>
      </c>
      <c r="Q29" s="84">
        <f t="shared" si="3"/>
        <v>1344</v>
      </c>
      <c r="R29" s="55"/>
      <c r="S29" s="55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</row>
    <row r="30" spans="1:45" x14ac:dyDescent="0.2">
      <c r="A30" t="s">
        <v>158</v>
      </c>
      <c r="B30" s="28">
        <v>200</v>
      </c>
      <c r="C30" s="28">
        <v>145</v>
      </c>
      <c r="D30" s="28">
        <v>620</v>
      </c>
      <c r="E30" s="28">
        <v>35</v>
      </c>
      <c r="F30" s="28" t="s">
        <v>134</v>
      </c>
      <c r="G30" s="28" t="s">
        <v>134</v>
      </c>
      <c r="H30" s="28">
        <f t="shared" si="0"/>
        <v>1000</v>
      </c>
      <c r="I30" s="28">
        <v>35</v>
      </c>
      <c r="J30" s="28">
        <v>240</v>
      </c>
      <c r="K30" s="28">
        <v>17</v>
      </c>
      <c r="L30" s="28" t="s">
        <v>134</v>
      </c>
      <c r="M30" s="28">
        <f t="shared" si="1"/>
        <v>292</v>
      </c>
      <c r="N30" s="28">
        <v>33</v>
      </c>
      <c r="O30" s="28">
        <v>105</v>
      </c>
      <c r="P30" s="28">
        <f t="shared" si="2"/>
        <v>138</v>
      </c>
      <c r="Q30" s="84">
        <f t="shared" si="3"/>
        <v>1430</v>
      </c>
      <c r="R30" s="55"/>
      <c r="S30" s="55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  <row r="31" spans="1:45" x14ac:dyDescent="0.2">
      <c r="A31" t="s">
        <v>159</v>
      </c>
      <c r="B31" s="28">
        <v>225</v>
      </c>
      <c r="C31" s="28">
        <v>160</v>
      </c>
      <c r="D31" s="28">
        <v>755</v>
      </c>
      <c r="E31" s="28">
        <v>63</v>
      </c>
      <c r="F31" s="28">
        <v>15</v>
      </c>
      <c r="G31" s="28" t="s">
        <v>134</v>
      </c>
      <c r="H31" s="28">
        <f t="shared" si="0"/>
        <v>1218</v>
      </c>
      <c r="I31" s="28">
        <v>35</v>
      </c>
      <c r="J31" s="28">
        <v>265</v>
      </c>
      <c r="K31" s="28">
        <v>19</v>
      </c>
      <c r="L31" s="28" t="s">
        <v>134</v>
      </c>
      <c r="M31" s="28">
        <f t="shared" si="1"/>
        <v>319</v>
      </c>
      <c r="N31" s="28">
        <v>23</v>
      </c>
      <c r="O31" s="28">
        <v>97</v>
      </c>
      <c r="P31" s="28">
        <f t="shared" si="2"/>
        <v>120</v>
      </c>
      <c r="Q31" s="84">
        <f t="shared" si="3"/>
        <v>1657</v>
      </c>
      <c r="R31" s="55"/>
      <c r="S31" s="55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</row>
    <row r="32" spans="1:45" x14ac:dyDescent="0.2">
      <c r="A32" t="s">
        <v>160</v>
      </c>
      <c r="B32" s="28">
        <v>165</v>
      </c>
      <c r="C32" s="28">
        <v>130</v>
      </c>
      <c r="D32" s="28">
        <v>580</v>
      </c>
      <c r="E32" s="28">
        <v>59</v>
      </c>
      <c r="F32" s="28">
        <v>17</v>
      </c>
      <c r="G32" s="28" t="s">
        <v>134</v>
      </c>
      <c r="H32" s="28">
        <f t="shared" si="0"/>
        <v>951</v>
      </c>
      <c r="I32" s="28">
        <v>23</v>
      </c>
      <c r="J32" s="28">
        <v>155</v>
      </c>
      <c r="K32" s="28">
        <v>12</v>
      </c>
      <c r="L32" s="28" t="s">
        <v>134</v>
      </c>
      <c r="M32" s="28">
        <f t="shared" si="1"/>
        <v>190</v>
      </c>
      <c r="N32" s="28">
        <v>17</v>
      </c>
      <c r="O32" s="28">
        <v>85</v>
      </c>
      <c r="P32" s="28">
        <f>+N32+O32</f>
        <v>102</v>
      </c>
      <c r="Q32" s="84">
        <f t="shared" si="3"/>
        <v>1243</v>
      </c>
      <c r="R32" s="55"/>
      <c r="S32" s="55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</row>
    <row r="33" spans="1:45" x14ac:dyDescent="0.2">
      <c r="A33" t="s">
        <v>161</v>
      </c>
      <c r="B33" s="28">
        <v>160</v>
      </c>
      <c r="C33" s="28">
        <v>130</v>
      </c>
      <c r="D33" s="28">
        <v>530</v>
      </c>
      <c r="E33" s="28">
        <v>59</v>
      </c>
      <c r="F33" s="28">
        <v>19</v>
      </c>
      <c r="G33" s="28" t="s">
        <v>134</v>
      </c>
      <c r="H33" s="28">
        <f t="shared" si="0"/>
        <v>898</v>
      </c>
      <c r="I33" s="28">
        <v>18</v>
      </c>
      <c r="J33" s="28">
        <v>190</v>
      </c>
      <c r="K33" s="28">
        <v>10</v>
      </c>
      <c r="L33" s="28" t="s">
        <v>134</v>
      </c>
      <c r="M33" s="28">
        <f t="shared" si="1"/>
        <v>218</v>
      </c>
      <c r="N33" s="28">
        <v>22</v>
      </c>
      <c r="O33" s="28">
        <v>92</v>
      </c>
      <c r="P33" s="28">
        <f>+N33+O33</f>
        <v>114</v>
      </c>
      <c r="Q33" s="84">
        <f t="shared" si="3"/>
        <v>1230</v>
      </c>
      <c r="R33" s="55"/>
      <c r="S33" s="55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</row>
    <row r="34" spans="1:45" x14ac:dyDescent="0.2">
      <c r="A34" t="s">
        <v>162</v>
      </c>
      <c r="B34" s="28">
        <v>195</v>
      </c>
      <c r="C34" s="28">
        <v>150</v>
      </c>
      <c r="D34" s="28">
        <v>690</v>
      </c>
      <c r="E34" s="28">
        <v>71</v>
      </c>
      <c r="F34" s="28">
        <v>22</v>
      </c>
      <c r="G34" s="28" t="s">
        <v>134</v>
      </c>
      <c r="H34" s="28">
        <f t="shared" si="0"/>
        <v>1128</v>
      </c>
      <c r="I34" s="28">
        <v>19</v>
      </c>
      <c r="J34" s="28">
        <v>257</v>
      </c>
      <c r="K34" s="28">
        <v>8</v>
      </c>
      <c r="L34" s="28" t="s">
        <v>134</v>
      </c>
      <c r="M34" s="28">
        <f t="shared" si="1"/>
        <v>284</v>
      </c>
      <c r="N34" s="28">
        <v>24</v>
      </c>
      <c r="O34" s="28">
        <v>98</v>
      </c>
      <c r="P34" s="28">
        <f>+N34+O34</f>
        <v>122</v>
      </c>
      <c r="Q34" s="84">
        <f t="shared" si="3"/>
        <v>1534</v>
      </c>
      <c r="R34" s="55"/>
      <c r="S34" s="55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</row>
    <row r="35" spans="1:45" x14ac:dyDescent="0.2">
      <c r="A35" t="s">
        <v>163</v>
      </c>
      <c r="B35" s="28">
        <v>155</v>
      </c>
      <c r="C35" s="28">
        <v>115</v>
      </c>
      <c r="D35" s="28">
        <v>510</v>
      </c>
      <c r="E35" s="28">
        <v>50</v>
      </c>
      <c r="F35" s="28">
        <v>21</v>
      </c>
      <c r="G35" s="28" t="s">
        <v>134</v>
      </c>
      <c r="H35" s="28">
        <f t="shared" si="0"/>
        <v>851</v>
      </c>
      <c r="I35" s="28">
        <v>14</v>
      </c>
      <c r="J35" s="28">
        <v>165</v>
      </c>
      <c r="K35" s="28">
        <v>7</v>
      </c>
      <c r="L35" s="28" t="s">
        <v>134</v>
      </c>
      <c r="M35" s="28">
        <f t="shared" si="1"/>
        <v>186</v>
      </c>
      <c r="N35" s="28">
        <v>12</v>
      </c>
      <c r="O35" s="28">
        <v>67</v>
      </c>
      <c r="P35" s="28">
        <f>+N35+O35</f>
        <v>79</v>
      </c>
      <c r="Q35" s="84">
        <f t="shared" si="3"/>
        <v>1116</v>
      </c>
      <c r="R35" s="55"/>
      <c r="S35" s="55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</row>
    <row r="36" spans="1:45" x14ac:dyDescent="0.2">
      <c r="A36" t="s">
        <v>164</v>
      </c>
      <c r="B36" s="28">
        <v>190</v>
      </c>
      <c r="C36" s="28">
        <v>145</v>
      </c>
      <c r="D36" s="28">
        <v>565</v>
      </c>
      <c r="E36" s="28">
        <v>67</v>
      </c>
      <c r="F36" s="28">
        <v>19</v>
      </c>
      <c r="G36" s="28" t="s">
        <v>134</v>
      </c>
      <c r="H36" s="28">
        <f t="shared" si="0"/>
        <v>986</v>
      </c>
      <c r="I36" s="28">
        <v>22</v>
      </c>
      <c r="J36" s="28">
        <v>165</v>
      </c>
      <c r="K36" s="28">
        <v>10</v>
      </c>
      <c r="L36" s="28" t="s">
        <v>134</v>
      </c>
      <c r="M36" s="28">
        <f t="shared" si="1"/>
        <v>197</v>
      </c>
      <c r="N36" s="28">
        <v>18</v>
      </c>
      <c r="O36" s="28">
        <v>87</v>
      </c>
      <c r="P36" s="28">
        <f t="shared" ref="P36:P50" si="4">SUM(N36:O36)</f>
        <v>105</v>
      </c>
      <c r="Q36" s="84">
        <f t="shared" si="3"/>
        <v>1288</v>
      </c>
      <c r="R36" s="55"/>
      <c r="S36" s="55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</row>
    <row r="37" spans="1:45" x14ac:dyDescent="0.2">
      <c r="A37" t="s">
        <v>165</v>
      </c>
      <c r="B37" s="28">
        <v>170</v>
      </c>
      <c r="C37" s="28">
        <v>170</v>
      </c>
      <c r="D37" s="28">
        <v>475</v>
      </c>
      <c r="E37" s="28">
        <v>77</v>
      </c>
      <c r="F37" s="28">
        <v>15</v>
      </c>
      <c r="G37" s="28" t="s">
        <v>134</v>
      </c>
      <c r="H37" s="28">
        <f t="shared" si="0"/>
        <v>907</v>
      </c>
      <c r="I37" s="28">
        <v>24</v>
      </c>
      <c r="J37" s="28">
        <v>105</v>
      </c>
      <c r="K37" s="28">
        <v>6.6</v>
      </c>
      <c r="L37" s="28" t="s">
        <v>134</v>
      </c>
      <c r="M37" s="28">
        <f t="shared" si="1"/>
        <v>135.6</v>
      </c>
      <c r="N37" s="28">
        <v>16</v>
      </c>
      <c r="O37" s="28">
        <v>82</v>
      </c>
      <c r="P37" s="28">
        <f t="shared" si="4"/>
        <v>98</v>
      </c>
      <c r="Q37" s="84">
        <f t="shared" si="3"/>
        <v>1140.5999999999999</v>
      </c>
      <c r="R37" s="55"/>
      <c r="S37" s="55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</row>
    <row r="38" spans="1:45" x14ac:dyDescent="0.2">
      <c r="A38" t="s">
        <v>166</v>
      </c>
      <c r="B38" s="28">
        <v>220</v>
      </c>
      <c r="C38" s="28">
        <v>210</v>
      </c>
      <c r="D38" s="28">
        <v>735</v>
      </c>
      <c r="E38" s="28">
        <v>110</v>
      </c>
      <c r="F38" s="28">
        <v>52</v>
      </c>
      <c r="G38" s="28" t="s">
        <v>134</v>
      </c>
      <c r="H38" s="28">
        <f t="shared" si="0"/>
        <v>1327</v>
      </c>
      <c r="I38" s="28">
        <v>24</v>
      </c>
      <c r="J38" s="28">
        <v>150</v>
      </c>
      <c r="K38" s="28">
        <v>10</v>
      </c>
      <c r="L38" s="28" t="s">
        <v>134</v>
      </c>
      <c r="M38" s="28">
        <f t="shared" si="1"/>
        <v>184</v>
      </c>
      <c r="N38" s="28">
        <v>20</v>
      </c>
      <c r="O38" s="28">
        <v>107</v>
      </c>
      <c r="P38" s="28">
        <f t="shared" si="4"/>
        <v>127</v>
      </c>
      <c r="Q38" s="84">
        <f t="shared" si="3"/>
        <v>1638</v>
      </c>
      <c r="R38" s="55"/>
      <c r="S38" s="55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</row>
    <row r="39" spans="1:45" x14ac:dyDescent="0.2">
      <c r="A39" t="s">
        <v>167</v>
      </c>
      <c r="B39" s="28">
        <v>140</v>
      </c>
      <c r="C39" s="28">
        <v>140</v>
      </c>
      <c r="D39" s="28">
        <v>430</v>
      </c>
      <c r="E39" s="28">
        <v>81</v>
      </c>
      <c r="F39" s="28">
        <v>34</v>
      </c>
      <c r="G39" s="28" t="s">
        <v>134</v>
      </c>
      <c r="H39" s="28">
        <f t="shared" si="0"/>
        <v>825</v>
      </c>
      <c r="I39" s="28">
        <v>17</v>
      </c>
      <c r="J39" s="28">
        <v>120</v>
      </c>
      <c r="K39" s="28">
        <v>7</v>
      </c>
      <c r="L39" s="28" t="s">
        <v>134</v>
      </c>
      <c r="M39" s="28">
        <f t="shared" si="1"/>
        <v>144</v>
      </c>
      <c r="N39" s="28">
        <v>16</v>
      </c>
      <c r="O39" s="28">
        <v>82</v>
      </c>
      <c r="P39" s="28">
        <f t="shared" si="4"/>
        <v>98</v>
      </c>
      <c r="Q39" s="84">
        <f t="shared" si="3"/>
        <v>1067</v>
      </c>
      <c r="R39" s="55"/>
      <c r="S39" s="55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</row>
    <row r="40" spans="1:45" x14ac:dyDescent="0.2">
      <c r="A40" t="s">
        <v>168</v>
      </c>
      <c r="B40" s="28">
        <v>175</v>
      </c>
      <c r="C40" s="28">
        <v>175</v>
      </c>
      <c r="D40" s="28">
        <v>600</v>
      </c>
      <c r="E40" s="28">
        <v>112</v>
      </c>
      <c r="F40" s="28">
        <v>32</v>
      </c>
      <c r="G40" s="28" t="s">
        <v>134</v>
      </c>
      <c r="H40" s="28">
        <f t="shared" si="0"/>
        <v>1094</v>
      </c>
      <c r="I40" s="28">
        <v>12</v>
      </c>
      <c r="J40" s="28">
        <v>130</v>
      </c>
      <c r="K40" s="28">
        <v>4.5</v>
      </c>
      <c r="L40" s="28" t="s">
        <v>134</v>
      </c>
      <c r="M40" s="28">
        <f t="shared" si="1"/>
        <v>146.5</v>
      </c>
      <c r="N40" s="28">
        <v>19</v>
      </c>
      <c r="O40" s="28">
        <v>94</v>
      </c>
      <c r="P40" s="28">
        <f t="shared" si="4"/>
        <v>113</v>
      </c>
      <c r="Q40" s="84">
        <f t="shared" si="3"/>
        <v>1353.5</v>
      </c>
      <c r="R40" s="55"/>
      <c r="S40" s="55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</row>
    <row r="41" spans="1:45" x14ac:dyDescent="0.2">
      <c r="A41" t="s">
        <v>169</v>
      </c>
      <c r="B41" s="28">
        <v>200</v>
      </c>
      <c r="C41" s="28">
        <v>190</v>
      </c>
      <c r="D41" s="28">
        <v>785</v>
      </c>
      <c r="E41" s="28">
        <v>112</v>
      </c>
      <c r="F41" s="28">
        <v>44</v>
      </c>
      <c r="G41" s="28" t="s">
        <v>134</v>
      </c>
      <c r="H41" s="28">
        <f t="shared" si="0"/>
        <v>1331</v>
      </c>
      <c r="I41" s="28">
        <v>10</v>
      </c>
      <c r="J41" s="28">
        <v>170</v>
      </c>
      <c r="K41" s="28">
        <v>5</v>
      </c>
      <c r="L41" s="28" t="s">
        <v>134</v>
      </c>
      <c r="M41" s="28">
        <f t="shared" si="1"/>
        <v>185</v>
      </c>
      <c r="N41" s="28">
        <v>19</v>
      </c>
      <c r="O41" s="28">
        <v>90</v>
      </c>
      <c r="P41" s="28">
        <f t="shared" si="4"/>
        <v>109</v>
      </c>
      <c r="Q41" s="84">
        <f t="shared" si="3"/>
        <v>1625</v>
      </c>
      <c r="R41" s="55"/>
      <c r="S41" s="55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</row>
    <row r="42" spans="1:45" x14ac:dyDescent="0.2">
      <c r="A42" t="s">
        <v>170</v>
      </c>
      <c r="B42" s="28">
        <v>175</v>
      </c>
      <c r="C42" s="28">
        <v>155</v>
      </c>
      <c r="D42" s="28">
        <v>720</v>
      </c>
      <c r="E42" s="28">
        <v>110</v>
      </c>
      <c r="F42" s="28">
        <v>39</v>
      </c>
      <c r="G42" s="28" t="s">
        <v>134</v>
      </c>
      <c r="H42" s="28">
        <f t="shared" si="0"/>
        <v>1199</v>
      </c>
      <c r="I42" s="28">
        <v>13</v>
      </c>
      <c r="J42" s="28">
        <v>305</v>
      </c>
      <c r="K42" s="28">
        <v>8</v>
      </c>
      <c r="L42" s="28">
        <v>24</v>
      </c>
      <c r="M42" s="28">
        <f t="shared" si="1"/>
        <v>350</v>
      </c>
      <c r="N42" s="28">
        <v>21</v>
      </c>
      <c r="O42" s="28">
        <v>101</v>
      </c>
      <c r="P42" s="28">
        <f t="shared" si="4"/>
        <v>122</v>
      </c>
      <c r="Q42" s="84">
        <f t="shared" si="3"/>
        <v>1671</v>
      </c>
      <c r="R42" s="55"/>
      <c r="S42" s="55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</row>
    <row r="43" spans="1:45" ht="10.5" customHeight="1" x14ac:dyDescent="0.2">
      <c r="A43" s="1">
        <v>2017</v>
      </c>
      <c r="B43" s="28">
        <v>195</v>
      </c>
      <c r="C43" s="28">
        <v>195</v>
      </c>
      <c r="D43" s="28">
        <v>835</v>
      </c>
      <c r="E43" s="28">
        <v>122</v>
      </c>
      <c r="F43" s="28">
        <v>44</v>
      </c>
      <c r="G43" s="28" t="s">
        <v>134</v>
      </c>
      <c r="H43" s="28">
        <f t="shared" si="0"/>
        <v>1391</v>
      </c>
      <c r="I43" s="28">
        <v>22</v>
      </c>
      <c r="J43" s="28">
        <v>275</v>
      </c>
      <c r="K43" s="28">
        <v>7.6</v>
      </c>
      <c r="L43" s="28">
        <v>30</v>
      </c>
      <c r="M43" s="28">
        <f t="shared" si="1"/>
        <v>334.6</v>
      </c>
      <c r="N43" s="28">
        <v>27</v>
      </c>
      <c r="O43" s="28">
        <v>119</v>
      </c>
      <c r="P43" s="28">
        <f t="shared" si="4"/>
        <v>146</v>
      </c>
      <c r="Q43" s="84">
        <f t="shared" si="3"/>
        <v>1871.6</v>
      </c>
      <c r="R43" s="55"/>
      <c r="S43" s="55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</row>
    <row r="44" spans="1:45" ht="10.5" customHeight="1" x14ac:dyDescent="0.2">
      <c r="A44" s="1">
        <v>2018</v>
      </c>
      <c r="B44" s="28">
        <v>165</v>
      </c>
      <c r="C44" s="28">
        <v>155</v>
      </c>
      <c r="D44" s="28">
        <v>665</v>
      </c>
      <c r="E44" s="28">
        <v>86</v>
      </c>
      <c r="F44" s="28">
        <v>24</v>
      </c>
      <c r="G44" s="28" t="s">
        <v>134</v>
      </c>
      <c r="H44" s="28">
        <f t="shared" si="0"/>
        <v>1095</v>
      </c>
      <c r="I44" s="28">
        <v>15</v>
      </c>
      <c r="J44" s="28">
        <v>152</v>
      </c>
      <c r="K44" s="28">
        <v>5.6</v>
      </c>
      <c r="L44" s="28">
        <v>26</v>
      </c>
      <c r="M44" s="28">
        <f t="shared" si="1"/>
        <v>198.6</v>
      </c>
      <c r="N44" s="28">
        <v>24</v>
      </c>
      <c r="O44" s="28">
        <v>102</v>
      </c>
      <c r="P44" s="28">
        <f t="shared" si="4"/>
        <v>126</v>
      </c>
      <c r="Q44" s="84">
        <f t="shared" si="3"/>
        <v>1419.6</v>
      </c>
      <c r="R44" s="55"/>
      <c r="S44" s="55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</row>
    <row r="45" spans="1:45" x14ac:dyDescent="0.2">
      <c r="A45" s="1">
        <v>2019</v>
      </c>
      <c r="B45" s="28">
        <v>160</v>
      </c>
      <c r="C45" s="28">
        <v>165</v>
      </c>
      <c r="D45" s="28">
        <v>675</v>
      </c>
      <c r="E45" s="28">
        <v>65</v>
      </c>
      <c r="F45" s="28">
        <v>20</v>
      </c>
      <c r="G45" s="28" t="s">
        <v>134</v>
      </c>
      <c r="H45" s="28">
        <f t="shared" si="0"/>
        <v>1085</v>
      </c>
      <c r="I45" s="28">
        <v>15</v>
      </c>
      <c r="J45" s="28">
        <v>162</v>
      </c>
      <c r="K45" s="28">
        <v>4.4000000000000004</v>
      </c>
      <c r="L45" s="28">
        <v>34</v>
      </c>
      <c r="M45" s="28">
        <f t="shared" si="1"/>
        <v>215.4</v>
      </c>
      <c r="N45" s="28">
        <v>25</v>
      </c>
      <c r="O45" s="28">
        <v>104</v>
      </c>
      <c r="P45" s="28">
        <f t="shared" si="4"/>
        <v>129</v>
      </c>
      <c r="Q45" s="84">
        <f t="shared" si="3"/>
        <v>1429.4</v>
      </c>
      <c r="R45" s="55"/>
      <c r="S45" s="55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</row>
    <row r="46" spans="1:45" x14ac:dyDescent="0.2">
      <c r="A46" s="1">
        <v>2020</v>
      </c>
      <c r="B46" s="28">
        <v>185</v>
      </c>
      <c r="C46" s="28">
        <v>173</v>
      </c>
      <c r="D46" s="28">
        <v>810</v>
      </c>
      <c r="E46" s="28">
        <v>84</v>
      </c>
      <c r="F46" s="28">
        <v>23</v>
      </c>
      <c r="G46" s="28" t="s">
        <v>134</v>
      </c>
      <c r="H46" s="28">
        <f t="shared" si="0"/>
        <v>1275</v>
      </c>
      <c r="I46" s="28">
        <v>15</v>
      </c>
      <c r="J46" s="28">
        <v>188</v>
      </c>
      <c r="K46" s="28">
        <v>6.5</v>
      </c>
      <c r="L46" s="28">
        <v>39</v>
      </c>
      <c r="M46" s="28">
        <f t="shared" si="1"/>
        <v>248.5</v>
      </c>
      <c r="N46" s="28">
        <v>28</v>
      </c>
      <c r="O46" s="28">
        <v>107</v>
      </c>
      <c r="P46" s="28">
        <f t="shared" si="4"/>
        <v>135</v>
      </c>
      <c r="Q46" s="84">
        <f t="shared" si="3"/>
        <v>1658.5</v>
      </c>
      <c r="R46" s="55"/>
      <c r="S46" s="55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</row>
    <row r="47" spans="1:45" x14ac:dyDescent="0.2">
      <c r="A47" s="1">
        <v>2021</v>
      </c>
      <c r="B47" s="28">
        <v>185</v>
      </c>
      <c r="C47" s="28">
        <v>166</v>
      </c>
      <c r="D47" s="28">
        <v>755</v>
      </c>
      <c r="E47" s="28">
        <v>69</v>
      </c>
      <c r="F47" s="28">
        <v>18</v>
      </c>
      <c r="G47" s="28" t="s">
        <v>134</v>
      </c>
      <c r="H47" s="28">
        <f t="shared" si="0"/>
        <v>1193</v>
      </c>
      <c r="I47" s="28">
        <v>16</v>
      </c>
      <c r="J47" s="28">
        <v>177</v>
      </c>
      <c r="K47" s="28">
        <v>11.3</v>
      </c>
      <c r="L47" s="28">
        <v>36</v>
      </c>
      <c r="M47" s="28">
        <f t="shared" si="1"/>
        <v>240.3</v>
      </c>
      <c r="N47" s="28">
        <v>30</v>
      </c>
      <c r="O47" s="28">
        <v>115</v>
      </c>
      <c r="P47" s="28">
        <f t="shared" si="4"/>
        <v>145</v>
      </c>
      <c r="Q47" s="84">
        <f t="shared" si="3"/>
        <v>1578.3</v>
      </c>
      <c r="R47" s="55"/>
      <c r="S47" s="55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</row>
    <row r="48" spans="1:45" x14ac:dyDescent="0.2">
      <c r="A48" s="1">
        <v>2022</v>
      </c>
      <c r="B48" s="28">
        <v>165</v>
      </c>
      <c r="C48" s="28">
        <v>152</v>
      </c>
      <c r="D48" s="28">
        <v>685</v>
      </c>
      <c r="E48" s="28">
        <v>71</v>
      </c>
      <c r="F48" s="28">
        <v>15</v>
      </c>
      <c r="G48" s="28" t="s">
        <v>134</v>
      </c>
      <c r="H48" s="28">
        <f t="shared" si="0"/>
        <v>1088</v>
      </c>
      <c r="I48" s="28">
        <v>18</v>
      </c>
      <c r="J48" s="28">
        <v>157</v>
      </c>
      <c r="K48" s="28">
        <v>6.5</v>
      </c>
      <c r="L48" s="28">
        <v>33</v>
      </c>
      <c r="M48" s="28">
        <f t="shared" si="1"/>
        <v>214.5</v>
      </c>
      <c r="N48" s="28">
        <v>29</v>
      </c>
      <c r="O48" s="28">
        <v>117</v>
      </c>
      <c r="P48" s="28">
        <f t="shared" si="4"/>
        <v>146</v>
      </c>
      <c r="Q48" s="84">
        <f t="shared" si="3"/>
        <v>1448.5</v>
      </c>
      <c r="R48" s="55"/>
      <c r="S48" s="55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</row>
    <row r="49" spans="1:45" x14ac:dyDescent="0.2">
      <c r="A49" s="1">
        <v>2023</v>
      </c>
      <c r="B49" s="28">
        <v>175</v>
      </c>
      <c r="C49" s="28">
        <v>160</v>
      </c>
      <c r="D49" s="28">
        <v>775</v>
      </c>
      <c r="E49" s="28">
        <v>77</v>
      </c>
      <c r="F49" s="28">
        <v>18</v>
      </c>
      <c r="G49" s="28" t="s">
        <v>134</v>
      </c>
      <c r="H49" s="28">
        <f t="shared" si="0"/>
        <v>1205</v>
      </c>
      <c r="I49" s="28">
        <v>16</v>
      </c>
      <c r="J49" s="28">
        <v>225</v>
      </c>
      <c r="K49" s="28">
        <v>11</v>
      </c>
      <c r="L49" s="28">
        <v>35</v>
      </c>
      <c r="M49" s="28">
        <f t="shared" si="1"/>
        <v>287</v>
      </c>
      <c r="N49" s="28">
        <v>29</v>
      </c>
      <c r="O49" s="28">
        <v>124</v>
      </c>
      <c r="P49" s="28">
        <f t="shared" si="4"/>
        <v>153</v>
      </c>
      <c r="Q49" s="84">
        <f t="shared" si="3"/>
        <v>1645</v>
      </c>
      <c r="R49" s="55"/>
      <c r="S49" s="55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</row>
    <row r="50" spans="1:45" x14ac:dyDescent="0.2">
      <c r="A50" s="1">
        <v>2024</v>
      </c>
      <c r="B50" s="28">
        <v>190</v>
      </c>
      <c r="C50" s="28">
        <v>165</v>
      </c>
      <c r="D50" s="28">
        <v>850</v>
      </c>
      <c r="E50" s="28">
        <v>82</v>
      </c>
      <c r="F50" s="28">
        <v>26</v>
      </c>
      <c r="G50" s="28">
        <v>24</v>
      </c>
      <c r="H50" s="28">
        <f t="shared" si="0"/>
        <v>1337</v>
      </c>
      <c r="I50" s="28">
        <v>19</v>
      </c>
      <c r="J50" s="28">
        <v>240</v>
      </c>
      <c r="K50" s="86" t="s">
        <v>134</v>
      </c>
      <c r="L50" s="28">
        <v>45</v>
      </c>
      <c r="M50" s="28">
        <f t="shared" si="1"/>
        <v>304</v>
      </c>
      <c r="N50" s="28">
        <v>30</v>
      </c>
      <c r="O50" s="28">
        <v>130</v>
      </c>
      <c r="P50" s="28">
        <f t="shared" si="4"/>
        <v>160</v>
      </c>
      <c r="Q50" s="84">
        <f t="shared" si="3"/>
        <v>1801</v>
      </c>
      <c r="R50" s="55"/>
      <c r="S50" s="55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</row>
    <row r="51" spans="1:45" x14ac:dyDescent="0.2">
      <c r="A51" s="79" t="s">
        <v>171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1"/>
      <c r="R51" s="55"/>
      <c r="S51" s="55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</row>
    <row r="52" spans="1:45" x14ac:dyDescent="0.2">
      <c r="A52" s="1" t="s">
        <v>172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55"/>
    </row>
    <row r="53" spans="1:45" x14ac:dyDescent="0.2">
      <c r="A53" s="1" t="s">
        <v>187</v>
      </c>
    </row>
    <row r="54" spans="1:45" x14ac:dyDescent="0.2">
      <c r="A54" t="s">
        <v>188</v>
      </c>
      <c r="R54" s="85"/>
      <c r="S54" s="85"/>
    </row>
    <row r="55" spans="1:45" x14ac:dyDescent="0.2">
      <c r="O55" s="32"/>
      <c r="P55" s="32"/>
      <c r="Q55" s="32" t="s">
        <v>191</v>
      </c>
    </row>
    <row r="60" spans="1:45" x14ac:dyDescent="0.2">
      <c r="O60" s="71"/>
    </row>
    <row r="65" spans="2:7" x14ac:dyDescent="0.2">
      <c r="B65" s="71"/>
      <c r="C65" s="71"/>
      <c r="D65" s="71"/>
      <c r="E65" s="71"/>
      <c r="F65" s="71"/>
      <c r="G65" s="71"/>
    </row>
    <row r="66" spans="2:7" x14ac:dyDescent="0.2">
      <c r="B66" s="71"/>
      <c r="C66" s="71"/>
      <c r="D66" s="71"/>
      <c r="E66" s="71"/>
      <c r="F66" s="71"/>
      <c r="G66" s="71"/>
    </row>
    <row r="67" spans="2:7" x14ac:dyDescent="0.2">
      <c r="B67" s="71"/>
      <c r="C67" s="71"/>
      <c r="D67" s="71"/>
      <c r="E67" s="71"/>
      <c r="F67" s="71"/>
      <c r="G67" s="71"/>
    </row>
    <row r="68" spans="2:7" x14ac:dyDescent="0.2">
      <c r="B68" s="71"/>
      <c r="C68" s="71"/>
      <c r="D68" s="71"/>
      <c r="E68" s="71"/>
      <c r="F68" s="71"/>
      <c r="G68" s="71"/>
    </row>
    <row r="69" spans="2:7" x14ac:dyDescent="0.2">
      <c r="B69" s="71"/>
      <c r="C69" s="71"/>
      <c r="D69" s="71"/>
      <c r="E69" s="71"/>
      <c r="F69" s="71"/>
      <c r="G69" s="71"/>
    </row>
  </sheetData>
  <pageMargins left="0.75" right="0.75" top="1" bottom="1" header="0.5" footer="0.5"/>
  <pageSetup scale="71" firstPageNumber="13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7C3B-E9C4-4819-8888-319AF9969D8D}">
  <sheetPr>
    <pageSetUpPr fitToPage="1"/>
  </sheetPr>
  <dimension ref="A1:AR55"/>
  <sheetViews>
    <sheetView zoomScaleNormal="100" workbookViewId="0"/>
  </sheetViews>
  <sheetFormatPr defaultRowHeight="10.199999999999999" x14ac:dyDescent="0.2"/>
  <cols>
    <col min="1" max="1" width="7.42578125" customWidth="1"/>
    <col min="2" max="7" width="8.85546875" customWidth="1"/>
    <col min="8" max="8" width="10.140625" customWidth="1"/>
    <col min="9" max="17" width="8.85546875" customWidth="1"/>
  </cols>
  <sheetData>
    <row r="1" spans="1:19" x14ac:dyDescent="0.2">
      <c r="A1" s="15" t="s">
        <v>182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 t="s">
        <v>50</v>
      </c>
      <c r="Q1" s="15" t="s">
        <v>50</v>
      </c>
    </row>
    <row r="2" spans="1:19" x14ac:dyDescent="0.2">
      <c r="A2" t="s">
        <v>114</v>
      </c>
      <c r="B2" s="37"/>
      <c r="C2" s="20"/>
      <c r="D2" s="18" t="s">
        <v>115</v>
      </c>
      <c r="E2" s="18"/>
      <c r="F2" s="18"/>
      <c r="G2" s="18"/>
      <c r="H2" s="36"/>
      <c r="I2" s="18"/>
      <c r="J2" s="66"/>
      <c r="K2" s="66" t="s">
        <v>116</v>
      </c>
      <c r="L2" s="18"/>
      <c r="M2" s="36"/>
      <c r="N2" s="33"/>
      <c r="O2" s="37" t="s">
        <v>117</v>
      </c>
      <c r="P2" s="36"/>
      <c r="Q2" s="39" t="s">
        <v>118</v>
      </c>
    </row>
    <row r="3" spans="1:19" x14ac:dyDescent="0.2">
      <c r="A3" s="15" t="s">
        <v>119</v>
      </c>
      <c r="B3" s="44" t="s">
        <v>120</v>
      </c>
      <c r="C3" s="20" t="s">
        <v>121</v>
      </c>
      <c r="D3" s="20" t="s">
        <v>122</v>
      </c>
      <c r="E3" s="20" t="s">
        <v>123</v>
      </c>
      <c r="F3" s="20" t="s">
        <v>124</v>
      </c>
      <c r="G3" s="20" t="s">
        <v>186</v>
      </c>
      <c r="H3" s="45" t="s">
        <v>39</v>
      </c>
      <c r="I3" s="20" t="s">
        <v>125</v>
      </c>
      <c r="J3" s="20" t="s">
        <v>126</v>
      </c>
      <c r="K3" s="20" t="s">
        <v>127</v>
      </c>
      <c r="L3" s="20" t="s">
        <v>128</v>
      </c>
      <c r="M3" s="45" t="s">
        <v>39</v>
      </c>
      <c r="N3" s="20" t="s">
        <v>129</v>
      </c>
      <c r="O3" s="20" t="s">
        <v>130</v>
      </c>
      <c r="P3" s="45" t="s">
        <v>39</v>
      </c>
      <c r="Q3" s="20" t="s">
        <v>131</v>
      </c>
    </row>
    <row r="4" spans="1:19" x14ac:dyDescent="0.2">
      <c r="C4" s="67"/>
      <c r="D4" s="67"/>
      <c r="E4" s="67"/>
      <c r="F4" s="67"/>
      <c r="G4" s="67"/>
      <c r="H4" s="67"/>
      <c r="I4" s="67"/>
      <c r="J4" s="67"/>
      <c r="K4" s="68" t="s">
        <v>132</v>
      </c>
      <c r="L4" s="68"/>
      <c r="M4" s="67"/>
      <c r="N4" s="67"/>
      <c r="O4" s="67"/>
      <c r="P4" s="67"/>
      <c r="Q4" s="67"/>
    </row>
    <row r="5" spans="1:19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x14ac:dyDescent="0.2">
      <c r="A6" s="1">
        <v>1980</v>
      </c>
      <c r="B6" s="87">
        <v>200</v>
      </c>
      <c r="C6" s="87">
        <v>56</v>
      </c>
      <c r="D6" s="87">
        <v>514</v>
      </c>
      <c r="E6" s="87">
        <v>13</v>
      </c>
      <c r="F6" s="87">
        <v>6</v>
      </c>
      <c r="G6" s="87" t="s">
        <v>134</v>
      </c>
      <c r="H6" s="87">
        <f t="shared" ref="H6:H50" si="0">SUM(B6:G6)</f>
        <v>789</v>
      </c>
      <c r="I6" s="87">
        <v>105</v>
      </c>
      <c r="J6" s="87">
        <v>230</v>
      </c>
      <c r="K6" s="87">
        <v>8.8000000000000007</v>
      </c>
      <c r="L6" s="88" t="s">
        <v>134</v>
      </c>
      <c r="M6" s="87">
        <f t="shared" ref="M6:M50" si="1">SUM(I6:L6)</f>
        <v>343.8</v>
      </c>
      <c r="N6" s="87">
        <v>101</v>
      </c>
      <c r="O6" s="87">
        <v>166</v>
      </c>
      <c r="P6" s="87">
        <f t="shared" ref="P6:P42" si="2">+N6+O6</f>
        <v>267</v>
      </c>
      <c r="Q6" s="87">
        <f t="shared" ref="Q6:Q50" si="3">H6+M6+P6</f>
        <v>1399.8</v>
      </c>
      <c r="R6" s="55"/>
      <c r="S6" s="55"/>
    </row>
    <row r="7" spans="1:19" x14ac:dyDescent="0.2">
      <c r="A7" s="1">
        <v>1981</v>
      </c>
      <c r="B7" s="87">
        <v>222</v>
      </c>
      <c r="C7" s="87">
        <v>60</v>
      </c>
      <c r="D7" s="87">
        <v>565</v>
      </c>
      <c r="E7" s="87">
        <v>15</v>
      </c>
      <c r="F7" s="87">
        <v>6.7</v>
      </c>
      <c r="G7" s="87" t="s">
        <v>134</v>
      </c>
      <c r="H7" s="87">
        <f t="shared" si="0"/>
        <v>868.7</v>
      </c>
      <c r="I7" s="87">
        <v>91</v>
      </c>
      <c r="J7" s="87">
        <v>242</v>
      </c>
      <c r="K7" s="87">
        <v>10</v>
      </c>
      <c r="L7" s="88" t="s">
        <v>134</v>
      </c>
      <c r="M7" s="87">
        <f t="shared" si="1"/>
        <v>343</v>
      </c>
      <c r="N7" s="87">
        <v>105</v>
      </c>
      <c r="O7" s="87">
        <v>172</v>
      </c>
      <c r="P7" s="87">
        <f t="shared" si="2"/>
        <v>277</v>
      </c>
      <c r="Q7" s="87">
        <f t="shared" si="3"/>
        <v>1488.7</v>
      </c>
      <c r="R7" s="55"/>
      <c r="S7" s="55"/>
    </row>
    <row r="8" spans="1:19" x14ac:dyDescent="0.2">
      <c r="A8" s="1">
        <v>1982</v>
      </c>
      <c r="B8" s="87">
        <v>177</v>
      </c>
      <c r="C8" s="87">
        <v>51</v>
      </c>
      <c r="D8" s="87">
        <v>472</v>
      </c>
      <c r="E8" s="87">
        <v>12</v>
      </c>
      <c r="F8" s="88" t="s">
        <v>134</v>
      </c>
      <c r="G8" s="87" t="s">
        <v>134</v>
      </c>
      <c r="H8" s="87">
        <f t="shared" si="0"/>
        <v>712</v>
      </c>
      <c r="I8" s="87">
        <v>86</v>
      </c>
      <c r="J8" s="87">
        <v>225</v>
      </c>
      <c r="K8" s="87">
        <v>10.4</v>
      </c>
      <c r="L8" s="88" t="s">
        <v>134</v>
      </c>
      <c r="M8" s="87">
        <f t="shared" si="1"/>
        <v>321.39999999999998</v>
      </c>
      <c r="N8" s="87">
        <v>95</v>
      </c>
      <c r="O8" s="87">
        <v>149</v>
      </c>
      <c r="P8" s="87">
        <f t="shared" si="2"/>
        <v>244</v>
      </c>
      <c r="Q8" s="87">
        <f t="shared" si="3"/>
        <v>1277.4000000000001</v>
      </c>
      <c r="R8" s="55"/>
      <c r="S8" s="55"/>
    </row>
    <row r="9" spans="1:19" x14ac:dyDescent="0.2">
      <c r="A9" s="1">
        <v>1983</v>
      </c>
      <c r="B9" s="87">
        <v>180</v>
      </c>
      <c r="C9" s="87">
        <v>60</v>
      </c>
      <c r="D9" s="87">
        <v>562</v>
      </c>
      <c r="E9" s="87">
        <v>12.5</v>
      </c>
      <c r="F9" s="88" t="s">
        <v>134</v>
      </c>
      <c r="G9" s="87" t="s">
        <v>134</v>
      </c>
      <c r="H9" s="87">
        <f t="shared" si="0"/>
        <v>814.5</v>
      </c>
      <c r="I9" s="87">
        <v>91</v>
      </c>
      <c r="J9" s="87">
        <v>215</v>
      </c>
      <c r="K9" s="87">
        <v>11</v>
      </c>
      <c r="L9" s="88" t="s">
        <v>134</v>
      </c>
      <c r="M9" s="87">
        <f t="shared" si="1"/>
        <v>317</v>
      </c>
      <c r="N9" s="87">
        <v>95</v>
      </c>
      <c r="O9" s="87">
        <v>147</v>
      </c>
      <c r="P9" s="87">
        <f t="shared" si="2"/>
        <v>242</v>
      </c>
      <c r="Q9" s="87">
        <f t="shared" si="3"/>
        <v>1373.5</v>
      </c>
      <c r="R9" s="55"/>
      <c r="S9" s="55"/>
    </row>
    <row r="10" spans="1:19" x14ac:dyDescent="0.2">
      <c r="A10" s="1">
        <v>1984</v>
      </c>
      <c r="B10" s="87">
        <v>219</v>
      </c>
      <c r="C10" s="87">
        <v>77</v>
      </c>
      <c r="D10" s="87">
        <v>640</v>
      </c>
      <c r="E10" s="87">
        <v>14.5</v>
      </c>
      <c r="F10" s="88" t="s">
        <v>134</v>
      </c>
      <c r="G10" s="87" t="s">
        <v>134</v>
      </c>
      <c r="H10" s="87">
        <f t="shared" si="0"/>
        <v>950.5</v>
      </c>
      <c r="I10" s="87">
        <v>88</v>
      </c>
      <c r="J10" s="87">
        <v>223</v>
      </c>
      <c r="K10" s="87">
        <v>14.5</v>
      </c>
      <c r="L10" s="88" t="s">
        <v>134</v>
      </c>
      <c r="M10" s="87">
        <f t="shared" si="1"/>
        <v>325.5</v>
      </c>
      <c r="N10" s="87">
        <v>97</v>
      </c>
      <c r="O10" s="87">
        <v>155</v>
      </c>
      <c r="P10" s="87">
        <f t="shared" si="2"/>
        <v>252</v>
      </c>
      <c r="Q10" s="87">
        <f t="shared" si="3"/>
        <v>1528</v>
      </c>
      <c r="R10" s="55"/>
      <c r="S10" s="55"/>
    </row>
    <row r="11" spans="1:19" x14ac:dyDescent="0.2">
      <c r="A11" s="1">
        <v>1985</v>
      </c>
      <c r="B11" s="87">
        <v>200</v>
      </c>
      <c r="C11" s="87">
        <v>72</v>
      </c>
      <c r="D11" s="87">
        <v>593</v>
      </c>
      <c r="E11" s="87">
        <v>12</v>
      </c>
      <c r="F11" s="88" t="s">
        <v>134</v>
      </c>
      <c r="G11" s="87" t="s">
        <v>134</v>
      </c>
      <c r="H11" s="87">
        <f t="shared" si="0"/>
        <v>877</v>
      </c>
      <c r="I11" s="87">
        <v>83</v>
      </c>
      <c r="J11" s="87">
        <v>245</v>
      </c>
      <c r="K11" s="87">
        <v>12.4</v>
      </c>
      <c r="L11" s="88" t="s">
        <v>134</v>
      </c>
      <c r="M11" s="87">
        <f t="shared" si="1"/>
        <v>340.4</v>
      </c>
      <c r="N11" s="87">
        <v>96</v>
      </c>
      <c r="O11" s="87">
        <v>154</v>
      </c>
      <c r="P11" s="87">
        <f t="shared" si="2"/>
        <v>250</v>
      </c>
      <c r="Q11" s="87">
        <f t="shared" si="3"/>
        <v>1467.4</v>
      </c>
      <c r="R11" s="55"/>
      <c r="S11" s="55"/>
    </row>
    <row r="12" spans="1:19" x14ac:dyDescent="0.2">
      <c r="A12" s="1">
        <v>1986</v>
      </c>
      <c r="B12" s="87">
        <v>219</v>
      </c>
      <c r="C12" s="87">
        <v>87</v>
      </c>
      <c r="D12" s="87">
        <v>665</v>
      </c>
      <c r="E12" s="87">
        <v>11.5</v>
      </c>
      <c r="F12" s="88" t="s">
        <v>134</v>
      </c>
      <c r="G12" s="87" t="s">
        <v>134</v>
      </c>
      <c r="H12" s="87">
        <f t="shared" si="0"/>
        <v>982.5</v>
      </c>
      <c r="I12" s="87">
        <v>88</v>
      </c>
      <c r="J12" s="87">
        <v>220</v>
      </c>
      <c r="K12" s="87">
        <v>12.7</v>
      </c>
      <c r="L12" s="88" t="s">
        <v>134</v>
      </c>
      <c r="M12" s="87">
        <f t="shared" si="1"/>
        <v>320.7</v>
      </c>
      <c r="N12" s="87">
        <v>89</v>
      </c>
      <c r="O12" s="87">
        <v>143</v>
      </c>
      <c r="P12" s="87">
        <f t="shared" si="2"/>
        <v>232</v>
      </c>
      <c r="Q12" s="87">
        <f t="shared" si="3"/>
        <v>1535.2</v>
      </c>
      <c r="R12" s="55"/>
      <c r="S12" s="55"/>
    </row>
    <row r="13" spans="1:19" x14ac:dyDescent="0.2">
      <c r="A13" s="1">
        <v>1987</v>
      </c>
      <c r="B13" s="87">
        <v>220</v>
      </c>
      <c r="C13" s="87">
        <v>83</v>
      </c>
      <c r="D13" s="87">
        <v>630</v>
      </c>
      <c r="E13" s="87">
        <v>13</v>
      </c>
      <c r="F13" s="88" t="s">
        <v>134</v>
      </c>
      <c r="G13" s="87" t="s">
        <v>134</v>
      </c>
      <c r="H13" s="87">
        <f t="shared" si="0"/>
        <v>946</v>
      </c>
      <c r="I13" s="87">
        <v>99</v>
      </c>
      <c r="J13" s="87">
        <v>252</v>
      </c>
      <c r="K13" s="87">
        <v>12.4</v>
      </c>
      <c r="L13" s="88" t="s">
        <v>134</v>
      </c>
      <c r="M13" s="87">
        <f t="shared" si="1"/>
        <v>363.4</v>
      </c>
      <c r="N13" s="87">
        <v>90</v>
      </c>
      <c r="O13" s="87">
        <v>148</v>
      </c>
      <c r="P13" s="87">
        <f t="shared" si="2"/>
        <v>238</v>
      </c>
      <c r="Q13" s="87">
        <f t="shared" si="3"/>
        <v>1547.4</v>
      </c>
      <c r="R13" s="55"/>
      <c r="S13" s="55"/>
    </row>
    <row r="14" spans="1:19" x14ac:dyDescent="0.2">
      <c r="A14" s="1">
        <v>1988</v>
      </c>
      <c r="B14" s="87">
        <v>236</v>
      </c>
      <c r="C14" s="87">
        <v>90</v>
      </c>
      <c r="D14" s="87">
        <v>685</v>
      </c>
      <c r="E14" s="87">
        <v>13</v>
      </c>
      <c r="F14" s="88" t="s">
        <v>134</v>
      </c>
      <c r="G14" s="87" t="s">
        <v>134</v>
      </c>
      <c r="H14" s="87">
        <f t="shared" si="0"/>
        <v>1024</v>
      </c>
      <c r="I14" s="87">
        <v>97</v>
      </c>
      <c r="J14" s="87">
        <v>250</v>
      </c>
      <c r="K14" s="87">
        <v>13.4</v>
      </c>
      <c r="L14" s="88" t="s">
        <v>134</v>
      </c>
      <c r="M14" s="87">
        <f t="shared" si="1"/>
        <v>360.4</v>
      </c>
      <c r="N14" s="87">
        <v>91</v>
      </c>
      <c r="O14" s="87">
        <v>153</v>
      </c>
      <c r="P14" s="87">
        <f t="shared" si="2"/>
        <v>244</v>
      </c>
      <c r="Q14" s="87">
        <f t="shared" si="3"/>
        <v>1628.4</v>
      </c>
      <c r="R14" s="55"/>
      <c r="S14" s="55"/>
    </row>
    <row r="15" spans="1:19" x14ac:dyDescent="0.2">
      <c r="A15" s="1">
        <v>1989</v>
      </c>
      <c r="B15" s="87">
        <v>239</v>
      </c>
      <c r="C15" s="87">
        <v>87</v>
      </c>
      <c r="D15" s="87">
        <v>685</v>
      </c>
      <c r="E15" s="87">
        <v>12.5</v>
      </c>
      <c r="F15" s="88" t="s">
        <v>134</v>
      </c>
      <c r="G15" s="87" t="s">
        <v>134</v>
      </c>
      <c r="H15" s="87">
        <f t="shared" si="0"/>
        <v>1023.5</v>
      </c>
      <c r="I15" s="87">
        <v>98</v>
      </c>
      <c r="J15" s="87">
        <v>262</v>
      </c>
      <c r="K15" s="87">
        <v>18.2</v>
      </c>
      <c r="L15" s="88" t="s">
        <v>134</v>
      </c>
      <c r="M15" s="87">
        <f t="shared" si="1"/>
        <v>378.2</v>
      </c>
      <c r="N15" s="87">
        <v>91</v>
      </c>
      <c r="O15" s="87">
        <v>152</v>
      </c>
      <c r="P15" s="87">
        <f t="shared" si="2"/>
        <v>243</v>
      </c>
      <c r="Q15" s="87">
        <f t="shared" si="3"/>
        <v>1644.7</v>
      </c>
      <c r="R15" s="55"/>
      <c r="S15" s="55"/>
    </row>
    <row r="16" spans="1:19" x14ac:dyDescent="0.2">
      <c r="A16" s="1">
        <v>1990</v>
      </c>
      <c r="B16" s="87">
        <v>256</v>
      </c>
      <c r="C16" s="87">
        <v>100</v>
      </c>
      <c r="D16" s="87">
        <v>770</v>
      </c>
      <c r="E16" s="87">
        <v>13.5</v>
      </c>
      <c r="F16" s="88" t="s">
        <v>134</v>
      </c>
      <c r="G16" s="87" t="s">
        <v>134</v>
      </c>
      <c r="H16" s="87">
        <f t="shared" si="0"/>
        <v>1139.5</v>
      </c>
      <c r="I16" s="87">
        <v>106</v>
      </c>
      <c r="J16" s="87">
        <v>289</v>
      </c>
      <c r="K16" s="87">
        <v>20</v>
      </c>
      <c r="L16" s="88" t="s">
        <v>134</v>
      </c>
      <c r="M16" s="87">
        <f t="shared" si="1"/>
        <v>415</v>
      </c>
      <c r="N16" s="87">
        <v>97</v>
      </c>
      <c r="O16" s="87">
        <v>164</v>
      </c>
      <c r="P16" s="87">
        <f t="shared" si="2"/>
        <v>261</v>
      </c>
      <c r="Q16" s="87">
        <f t="shared" si="3"/>
        <v>1815.5</v>
      </c>
      <c r="R16" s="55"/>
      <c r="S16" s="55"/>
    </row>
    <row r="17" spans="1:19" x14ac:dyDescent="0.2">
      <c r="A17" s="1">
        <v>1991</v>
      </c>
      <c r="B17" s="87">
        <v>277</v>
      </c>
      <c r="C17" s="87">
        <v>118</v>
      </c>
      <c r="D17" s="87">
        <v>895</v>
      </c>
      <c r="E17" s="87">
        <v>14</v>
      </c>
      <c r="F17" s="88" t="s">
        <v>134</v>
      </c>
      <c r="G17" s="87" t="s">
        <v>134</v>
      </c>
      <c r="H17" s="87">
        <f t="shared" si="0"/>
        <v>1304</v>
      </c>
      <c r="I17" s="87">
        <v>106</v>
      </c>
      <c r="J17" s="87">
        <v>325</v>
      </c>
      <c r="K17" s="87">
        <v>22.7</v>
      </c>
      <c r="L17" s="88" t="s">
        <v>134</v>
      </c>
      <c r="M17" s="87">
        <f t="shared" si="1"/>
        <v>453.7</v>
      </c>
      <c r="N17" s="87">
        <v>96</v>
      </c>
      <c r="O17" s="87">
        <v>162</v>
      </c>
      <c r="P17" s="87">
        <f t="shared" si="2"/>
        <v>258</v>
      </c>
      <c r="Q17" s="87">
        <f t="shared" si="3"/>
        <v>2015.7</v>
      </c>
      <c r="R17" s="55"/>
      <c r="S17" s="55"/>
    </row>
    <row r="18" spans="1:19" x14ac:dyDescent="0.2">
      <c r="A18" s="1">
        <v>1992</v>
      </c>
      <c r="B18" s="87">
        <v>236</v>
      </c>
      <c r="C18" s="87">
        <v>77</v>
      </c>
      <c r="D18" s="87">
        <v>673</v>
      </c>
      <c r="E18" s="87">
        <v>13</v>
      </c>
      <c r="F18" s="88" t="s">
        <v>134</v>
      </c>
      <c r="G18" s="87" t="s">
        <v>134</v>
      </c>
      <c r="H18" s="87">
        <f t="shared" si="0"/>
        <v>999</v>
      </c>
      <c r="I18" s="87">
        <v>98</v>
      </c>
      <c r="J18" s="87">
        <v>305</v>
      </c>
      <c r="K18" s="87">
        <v>21.1</v>
      </c>
      <c r="L18" s="88" t="s">
        <v>134</v>
      </c>
      <c r="M18" s="87">
        <f t="shared" si="1"/>
        <v>424.1</v>
      </c>
      <c r="N18" s="87">
        <v>93</v>
      </c>
      <c r="O18" s="87">
        <v>153</v>
      </c>
      <c r="P18" s="87">
        <f t="shared" si="2"/>
        <v>246</v>
      </c>
      <c r="Q18" s="87">
        <f t="shared" si="3"/>
        <v>1669.1</v>
      </c>
      <c r="R18" s="55"/>
      <c r="S18" s="55"/>
    </row>
    <row r="19" spans="1:19" x14ac:dyDescent="0.2">
      <c r="A19" s="1">
        <v>1993</v>
      </c>
      <c r="B19" s="87">
        <v>239</v>
      </c>
      <c r="C19" s="87">
        <v>84</v>
      </c>
      <c r="D19" s="87">
        <v>697</v>
      </c>
      <c r="E19" s="87">
        <v>14</v>
      </c>
      <c r="F19" s="88" t="s">
        <v>134</v>
      </c>
      <c r="G19" s="87" t="s">
        <v>134</v>
      </c>
      <c r="H19" s="87">
        <f t="shared" si="0"/>
        <v>1034</v>
      </c>
      <c r="I19" s="87">
        <v>102</v>
      </c>
      <c r="J19" s="87">
        <v>295</v>
      </c>
      <c r="K19" s="87">
        <v>21.8</v>
      </c>
      <c r="L19" s="88" t="s">
        <v>134</v>
      </c>
      <c r="M19" s="87">
        <f t="shared" si="1"/>
        <v>418.8</v>
      </c>
      <c r="N19" s="87">
        <v>94</v>
      </c>
      <c r="O19" s="87">
        <v>143</v>
      </c>
      <c r="P19" s="87">
        <f t="shared" si="2"/>
        <v>237</v>
      </c>
      <c r="Q19" s="87">
        <f t="shared" si="3"/>
        <v>1689.8</v>
      </c>
      <c r="R19" s="55"/>
      <c r="S19" s="55"/>
    </row>
    <row r="20" spans="1:19" x14ac:dyDescent="0.2">
      <c r="A20" s="1">
        <v>1994</v>
      </c>
      <c r="B20" s="87">
        <v>222</v>
      </c>
      <c r="C20" s="87">
        <v>84</v>
      </c>
      <c r="D20" s="87">
        <v>649</v>
      </c>
      <c r="E20" s="87">
        <v>12.5</v>
      </c>
      <c r="F20" s="88" t="s">
        <v>134</v>
      </c>
      <c r="G20" s="87" t="s">
        <v>134</v>
      </c>
      <c r="H20" s="87">
        <f t="shared" si="0"/>
        <v>967.5</v>
      </c>
      <c r="I20" s="87">
        <v>100</v>
      </c>
      <c r="J20" s="87">
        <v>287</v>
      </c>
      <c r="K20" s="87">
        <v>21</v>
      </c>
      <c r="L20" s="88" t="s">
        <v>134</v>
      </c>
      <c r="M20" s="87">
        <f t="shared" si="1"/>
        <v>408</v>
      </c>
      <c r="N20" s="87">
        <v>92</v>
      </c>
      <c r="O20" s="87">
        <v>151</v>
      </c>
      <c r="P20" s="87">
        <f t="shared" si="2"/>
        <v>243</v>
      </c>
      <c r="Q20" s="87">
        <f t="shared" si="3"/>
        <v>1618.5</v>
      </c>
      <c r="R20" s="55"/>
      <c r="S20" s="55"/>
    </row>
    <row r="21" spans="1:19" x14ac:dyDescent="0.2">
      <c r="A21" s="1">
        <v>1995</v>
      </c>
      <c r="B21" s="87">
        <v>212</v>
      </c>
      <c r="C21" s="87">
        <v>81</v>
      </c>
      <c r="D21" s="87">
        <v>592</v>
      </c>
      <c r="E21" s="87">
        <v>11</v>
      </c>
      <c r="F21" s="88" t="s">
        <v>134</v>
      </c>
      <c r="G21" s="87" t="s">
        <v>134</v>
      </c>
      <c r="H21" s="87">
        <f t="shared" si="0"/>
        <v>896</v>
      </c>
      <c r="I21" s="87">
        <v>98</v>
      </c>
      <c r="J21" s="87">
        <v>270</v>
      </c>
      <c r="K21" s="87">
        <v>20</v>
      </c>
      <c r="L21" s="88" t="s">
        <v>134</v>
      </c>
      <c r="M21" s="87">
        <f t="shared" si="1"/>
        <v>388</v>
      </c>
      <c r="N21" s="87">
        <v>89</v>
      </c>
      <c r="O21" s="87">
        <v>144</v>
      </c>
      <c r="P21" s="87">
        <f t="shared" si="2"/>
        <v>233</v>
      </c>
      <c r="Q21" s="87">
        <f t="shared" si="3"/>
        <v>1517</v>
      </c>
      <c r="R21" s="55"/>
      <c r="S21" s="55"/>
    </row>
    <row r="22" spans="1:19" x14ac:dyDescent="0.2">
      <c r="A22" s="1">
        <v>1996</v>
      </c>
      <c r="B22" s="87">
        <v>191</v>
      </c>
      <c r="C22" s="87">
        <v>82</v>
      </c>
      <c r="D22" s="87">
        <v>533</v>
      </c>
      <c r="E22" s="87">
        <v>10.5</v>
      </c>
      <c r="F22" s="88" t="s">
        <v>134</v>
      </c>
      <c r="G22" s="87" t="s">
        <v>134</v>
      </c>
      <c r="H22" s="87">
        <f t="shared" si="0"/>
        <v>816.5</v>
      </c>
      <c r="I22" s="87">
        <v>81</v>
      </c>
      <c r="J22" s="87">
        <v>265</v>
      </c>
      <c r="K22" s="87">
        <v>16.5</v>
      </c>
      <c r="L22" s="88" t="s">
        <v>134</v>
      </c>
      <c r="M22" s="87">
        <f t="shared" si="1"/>
        <v>362.5</v>
      </c>
      <c r="N22" s="87">
        <v>76</v>
      </c>
      <c r="O22" s="87">
        <v>125</v>
      </c>
      <c r="P22" s="87">
        <f t="shared" si="2"/>
        <v>201</v>
      </c>
      <c r="Q22" s="87">
        <f t="shared" si="3"/>
        <v>1380</v>
      </c>
      <c r="R22" s="55"/>
      <c r="S22" s="55"/>
    </row>
    <row r="23" spans="1:19" x14ac:dyDescent="0.2">
      <c r="A23" s="1">
        <v>1997</v>
      </c>
      <c r="B23" s="87">
        <v>193</v>
      </c>
      <c r="C23" s="87">
        <v>84</v>
      </c>
      <c r="D23" s="87">
        <v>519</v>
      </c>
      <c r="E23" s="87">
        <v>10.5</v>
      </c>
      <c r="F23" s="88" t="s">
        <v>134</v>
      </c>
      <c r="G23" s="87" t="s">
        <v>134</v>
      </c>
      <c r="H23" s="87">
        <f t="shared" si="0"/>
        <v>806.5</v>
      </c>
      <c r="I23" s="87">
        <v>77</v>
      </c>
      <c r="J23" s="87">
        <v>315</v>
      </c>
      <c r="K23" s="87">
        <v>17.3</v>
      </c>
      <c r="L23" s="88" t="s">
        <v>134</v>
      </c>
      <c r="M23" s="87">
        <f t="shared" si="1"/>
        <v>409.3</v>
      </c>
      <c r="N23" s="87">
        <v>75</v>
      </c>
      <c r="O23" s="87">
        <v>123</v>
      </c>
      <c r="P23" s="87">
        <f t="shared" si="2"/>
        <v>198</v>
      </c>
      <c r="Q23" s="87">
        <f t="shared" si="3"/>
        <v>1413.8</v>
      </c>
      <c r="R23" s="55"/>
      <c r="S23" s="55"/>
    </row>
    <row r="24" spans="1:19" x14ac:dyDescent="0.2">
      <c r="A24" s="1">
        <v>1998</v>
      </c>
      <c r="B24" s="87">
        <v>197</v>
      </c>
      <c r="C24" s="87">
        <v>90</v>
      </c>
      <c r="D24" s="87">
        <v>537</v>
      </c>
      <c r="E24" s="87">
        <v>11.5</v>
      </c>
      <c r="F24" s="88" t="s">
        <v>134</v>
      </c>
      <c r="G24" s="87" t="s">
        <v>134</v>
      </c>
      <c r="H24" s="87">
        <f t="shared" si="0"/>
        <v>835.5</v>
      </c>
      <c r="I24" s="87">
        <v>75</v>
      </c>
      <c r="J24" s="87">
        <v>335</v>
      </c>
      <c r="K24" s="87">
        <v>22</v>
      </c>
      <c r="L24" s="88" t="s">
        <v>134</v>
      </c>
      <c r="M24" s="87">
        <f t="shared" si="1"/>
        <v>432</v>
      </c>
      <c r="N24" s="87">
        <v>75</v>
      </c>
      <c r="O24" s="87">
        <v>124.5</v>
      </c>
      <c r="P24" s="87">
        <f t="shared" si="2"/>
        <v>199.5</v>
      </c>
      <c r="Q24" s="87">
        <f t="shared" si="3"/>
        <v>1467</v>
      </c>
      <c r="R24" s="55"/>
      <c r="S24" s="55"/>
    </row>
    <row r="25" spans="1:19" x14ac:dyDescent="0.2">
      <c r="A25" s="1">
        <v>1999</v>
      </c>
      <c r="B25" s="87">
        <v>206</v>
      </c>
      <c r="C25" s="87">
        <v>94</v>
      </c>
      <c r="D25" s="87">
        <v>544</v>
      </c>
      <c r="E25" s="87">
        <v>11</v>
      </c>
      <c r="F25" s="88" t="s">
        <v>134</v>
      </c>
      <c r="G25" s="87" t="s">
        <v>134</v>
      </c>
      <c r="H25" s="87">
        <f t="shared" si="0"/>
        <v>855</v>
      </c>
      <c r="I25" s="87">
        <v>79</v>
      </c>
      <c r="J25" s="87">
        <v>280</v>
      </c>
      <c r="K25" s="87">
        <v>22</v>
      </c>
      <c r="L25" s="88" t="s">
        <v>134</v>
      </c>
      <c r="M25" s="87">
        <f t="shared" si="1"/>
        <v>381</v>
      </c>
      <c r="N25" s="87">
        <v>76</v>
      </c>
      <c r="O25" s="87">
        <v>124</v>
      </c>
      <c r="P25" s="87">
        <f t="shared" si="2"/>
        <v>200</v>
      </c>
      <c r="Q25" s="87">
        <f t="shared" si="3"/>
        <v>1436</v>
      </c>
      <c r="R25" s="55"/>
      <c r="S25" s="55"/>
    </row>
    <row r="26" spans="1:19" x14ac:dyDescent="0.2">
      <c r="A26" s="1">
        <v>2000</v>
      </c>
      <c r="B26" s="87">
        <v>182</v>
      </c>
      <c r="C26" s="87">
        <v>86</v>
      </c>
      <c r="D26" s="87">
        <v>492</v>
      </c>
      <c r="E26" s="87">
        <v>10</v>
      </c>
      <c r="F26" s="88" t="s">
        <v>134</v>
      </c>
      <c r="G26" s="87" t="s">
        <v>134</v>
      </c>
      <c r="H26" s="87">
        <f t="shared" si="0"/>
        <v>770</v>
      </c>
      <c r="I26" s="87">
        <v>67</v>
      </c>
      <c r="J26" s="87">
        <v>275</v>
      </c>
      <c r="K26" s="87">
        <v>26</v>
      </c>
      <c r="L26" s="88" t="s">
        <v>134</v>
      </c>
      <c r="M26" s="87">
        <f t="shared" si="1"/>
        <v>368</v>
      </c>
      <c r="N26" s="87">
        <v>75</v>
      </c>
      <c r="O26" s="87">
        <v>123</v>
      </c>
      <c r="P26" s="87">
        <f t="shared" si="2"/>
        <v>198</v>
      </c>
      <c r="Q26" s="87">
        <f t="shared" si="3"/>
        <v>1336</v>
      </c>
      <c r="R26" s="55"/>
      <c r="S26" s="55"/>
    </row>
    <row r="27" spans="1:19" x14ac:dyDescent="0.2">
      <c r="A27" s="1">
        <v>2001</v>
      </c>
      <c r="B27" s="87">
        <v>199</v>
      </c>
      <c r="C27" s="87">
        <v>82</v>
      </c>
      <c r="D27" s="87">
        <v>514</v>
      </c>
      <c r="E27" s="87">
        <v>10.199999999999999</v>
      </c>
      <c r="F27" s="88" t="s">
        <v>134</v>
      </c>
      <c r="G27" s="87" t="s">
        <v>134</v>
      </c>
      <c r="H27" s="87">
        <f t="shared" si="0"/>
        <v>805.2</v>
      </c>
      <c r="I27" s="87">
        <v>77</v>
      </c>
      <c r="J27" s="87">
        <v>310</v>
      </c>
      <c r="K27" s="87">
        <v>22.2</v>
      </c>
      <c r="L27" s="88" t="s">
        <v>134</v>
      </c>
      <c r="M27" s="87">
        <f t="shared" si="1"/>
        <v>409.2</v>
      </c>
      <c r="N27" s="87">
        <v>75</v>
      </c>
      <c r="O27" s="87">
        <v>122.5</v>
      </c>
      <c r="P27" s="87">
        <f t="shared" si="2"/>
        <v>197.5</v>
      </c>
      <c r="Q27" s="87">
        <f t="shared" si="3"/>
        <v>1411.9</v>
      </c>
      <c r="R27" s="55"/>
      <c r="S27" s="55"/>
    </row>
    <row r="28" spans="1:19" x14ac:dyDescent="0.2">
      <c r="A28" s="1">
        <v>2002</v>
      </c>
      <c r="B28" s="87">
        <v>180</v>
      </c>
      <c r="C28" s="87">
        <v>86</v>
      </c>
      <c r="D28" s="87">
        <v>505</v>
      </c>
      <c r="E28" s="87">
        <v>8.6999999999999993</v>
      </c>
      <c r="F28" s="88" t="s">
        <v>134</v>
      </c>
      <c r="G28" s="87" t="s">
        <v>134</v>
      </c>
      <c r="H28" s="87">
        <f t="shared" si="0"/>
        <v>779.7</v>
      </c>
      <c r="I28" s="87">
        <v>57</v>
      </c>
      <c r="J28" s="87">
        <v>280</v>
      </c>
      <c r="K28" s="87">
        <v>18</v>
      </c>
      <c r="L28" s="88" t="s">
        <v>134</v>
      </c>
      <c r="M28" s="87">
        <f t="shared" si="1"/>
        <v>355</v>
      </c>
      <c r="N28" s="87">
        <v>57</v>
      </c>
      <c r="O28" s="87">
        <v>100</v>
      </c>
      <c r="P28" s="87">
        <f t="shared" si="2"/>
        <v>157</v>
      </c>
      <c r="Q28" s="87">
        <f t="shared" si="3"/>
        <v>1291.7</v>
      </c>
      <c r="R28" s="55"/>
      <c r="S28" s="55"/>
    </row>
    <row r="29" spans="1:19" x14ac:dyDescent="0.2">
      <c r="A29" s="1">
        <v>2003</v>
      </c>
      <c r="B29" s="87">
        <v>185</v>
      </c>
      <c r="C29" s="87">
        <v>115</v>
      </c>
      <c r="D29" s="87">
        <v>540</v>
      </c>
      <c r="E29" s="87">
        <v>17</v>
      </c>
      <c r="F29" s="88" t="s">
        <v>134</v>
      </c>
      <c r="G29" s="87" t="s">
        <v>134</v>
      </c>
      <c r="H29" s="87">
        <f t="shared" si="0"/>
        <v>857</v>
      </c>
      <c r="I29" s="87">
        <v>35</v>
      </c>
      <c r="J29" s="87">
        <v>270</v>
      </c>
      <c r="K29" s="87">
        <v>17</v>
      </c>
      <c r="L29" s="88" t="s">
        <v>134</v>
      </c>
      <c r="M29" s="87">
        <f t="shared" si="1"/>
        <v>322</v>
      </c>
      <c r="N29" s="87">
        <v>33</v>
      </c>
      <c r="O29" s="87">
        <v>100</v>
      </c>
      <c r="P29" s="87">
        <f t="shared" si="2"/>
        <v>133</v>
      </c>
      <c r="Q29" s="87">
        <f t="shared" si="3"/>
        <v>1312</v>
      </c>
      <c r="R29" s="55"/>
      <c r="S29" s="55"/>
    </row>
    <row r="30" spans="1:19" x14ac:dyDescent="0.2">
      <c r="A30" s="1">
        <v>2004</v>
      </c>
      <c r="B30" s="87">
        <v>199</v>
      </c>
      <c r="C30" s="87">
        <v>130</v>
      </c>
      <c r="D30" s="87">
        <v>610</v>
      </c>
      <c r="E30" s="87">
        <v>33</v>
      </c>
      <c r="F30" s="88" t="s">
        <v>134</v>
      </c>
      <c r="G30" s="87" t="s">
        <v>134</v>
      </c>
      <c r="H30" s="87">
        <f t="shared" si="0"/>
        <v>972</v>
      </c>
      <c r="I30" s="87">
        <v>33</v>
      </c>
      <c r="J30" s="87">
        <v>235</v>
      </c>
      <c r="K30" s="87">
        <v>17</v>
      </c>
      <c r="L30" s="88" t="s">
        <v>134</v>
      </c>
      <c r="M30" s="87">
        <f t="shared" si="1"/>
        <v>285</v>
      </c>
      <c r="N30" s="87">
        <v>32</v>
      </c>
      <c r="O30" s="87">
        <v>105</v>
      </c>
      <c r="P30" s="87">
        <f t="shared" si="2"/>
        <v>137</v>
      </c>
      <c r="Q30" s="87">
        <f t="shared" si="3"/>
        <v>1394</v>
      </c>
      <c r="R30" s="55"/>
      <c r="S30" s="55"/>
    </row>
    <row r="31" spans="1:19" x14ac:dyDescent="0.2">
      <c r="A31" s="1">
        <v>2005</v>
      </c>
      <c r="B31" s="87">
        <v>223</v>
      </c>
      <c r="C31" s="87">
        <v>152</v>
      </c>
      <c r="D31" s="87">
        <v>750</v>
      </c>
      <c r="E31" s="87">
        <v>60</v>
      </c>
      <c r="F31" s="87">
        <v>14</v>
      </c>
      <c r="G31" s="87" t="s">
        <v>134</v>
      </c>
      <c r="H31" s="87">
        <f t="shared" si="0"/>
        <v>1199</v>
      </c>
      <c r="I31" s="87">
        <v>33</v>
      </c>
      <c r="J31" s="87">
        <v>260</v>
      </c>
      <c r="K31" s="87">
        <v>19</v>
      </c>
      <c r="L31" s="88" t="s">
        <v>134</v>
      </c>
      <c r="M31" s="87">
        <f t="shared" si="1"/>
        <v>312</v>
      </c>
      <c r="N31" s="87">
        <v>22</v>
      </c>
      <c r="O31" s="87">
        <v>96</v>
      </c>
      <c r="P31" s="87">
        <f t="shared" si="2"/>
        <v>118</v>
      </c>
      <c r="Q31" s="87">
        <f t="shared" si="3"/>
        <v>1629</v>
      </c>
      <c r="R31" s="55"/>
      <c r="S31" s="55"/>
    </row>
    <row r="32" spans="1:19" x14ac:dyDescent="0.2">
      <c r="A32" s="1">
        <v>2006</v>
      </c>
      <c r="B32" s="87">
        <v>163</v>
      </c>
      <c r="C32" s="87">
        <v>120</v>
      </c>
      <c r="D32" s="87">
        <v>575</v>
      </c>
      <c r="E32" s="87">
        <v>56</v>
      </c>
      <c r="F32" s="87">
        <v>16</v>
      </c>
      <c r="G32" s="87" t="s">
        <v>134</v>
      </c>
      <c r="H32" s="87">
        <f t="shared" si="0"/>
        <v>930</v>
      </c>
      <c r="I32" s="87">
        <v>22</v>
      </c>
      <c r="J32" s="87">
        <v>145</v>
      </c>
      <c r="K32" s="87">
        <v>12</v>
      </c>
      <c r="L32" s="88" t="s">
        <v>134</v>
      </c>
      <c r="M32" s="87">
        <f t="shared" si="1"/>
        <v>179</v>
      </c>
      <c r="N32" s="87">
        <v>17</v>
      </c>
      <c r="O32" s="87">
        <v>84</v>
      </c>
      <c r="P32" s="87">
        <f t="shared" si="2"/>
        <v>101</v>
      </c>
      <c r="Q32" s="87">
        <f t="shared" si="3"/>
        <v>1210</v>
      </c>
      <c r="R32" s="55"/>
      <c r="S32" s="55"/>
    </row>
    <row r="33" spans="1:44" x14ac:dyDescent="0.2">
      <c r="A33" s="1">
        <v>2007</v>
      </c>
      <c r="B33" s="87">
        <v>157</v>
      </c>
      <c r="C33" s="87">
        <v>119</v>
      </c>
      <c r="D33" s="87">
        <v>520</v>
      </c>
      <c r="E33" s="87">
        <v>56</v>
      </c>
      <c r="F33" s="87">
        <v>18</v>
      </c>
      <c r="G33" s="87" t="s">
        <v>134</v>
      </c>
      <c r="H33" s="87">
        <f t="shared" si="0"/>
        <v>870</v>
      </c>
      <c r="I33" s="87">
        <v>17</v>
      </c>
      <c r="J33" s="87">
        <v>187</v>
      </c>
      <c r="K33" s="87">
        <v>10</v>
      </c>
      <c r="L33" s="88" t="s">
        <v>134</v>
      </c>
      <c r="M33" s="87">
        <f t="shared" si="1"/>
        <v>214</v>
      </c>
      <c r="N33" s="87">
        <v>21</v>
      </c>
      <c r="O33" s="87">
        <v>90</v>
      </c>
      <c r="P33" s="87">
        <f t="shared" si="2"/>
        <v>111</v>
      </c>
      <c r="Q33" s="87">
        <f t="shared" si="3"/>
        <v>1195</v>
      </c>
      <c r="R33" s="55"/>
      <c r="S33" s="55"/>
    </row>
    <row r="34" spans="1:44" x14ac:dyDescent="0.2">
      <c r="A34" s="1">
        <v>2008</v>
      </c>
      <c r="B34" s="87">
        <v>193</v>
      </c>
      <c r="C34" s="87">
        <v>140</v>
      </c>
      <c r="D34" s="87">
        <v>685</v>
      </c>
      <c r="E34" s="87">
        <v>68</v>
      </c>
      <c r="F34" s="87">
        <v>21</v>
      </c>
      <c r="G34" s="87" t="s">
        <v>134</v>
      </c>
      <c r="H34" s="87">
        <f t="shared" si="0"/>
        <v>1107</v>
      </c>
      <c r="I34" s="87">
        <v>18</v>
      </c>
      <c r="J34" s="87">
        <v>253</v>
      </c>
      <c r="K34" s="87">
        <v>8</v>
      </c>
      <c r="L34" s="88" t="s">
        <v>134</v>
      </c>
      <c r="M34" s="87">
        <f t="shared" si="1"/>
        <v>279</v>
      </c>
      <c r="N34" s="87">
        <v>24</v>
      </c>
      <c r="O34" s="87">
        <v>97</v>
      </c>
      <c r="P34" s="87">
        <f t="shared" si="2"/>
        <v>121</v>
      </c>
      <c r="Q34" s="87">
        <f t="shared" si="3"/>
        <v>1507</v>
      </c>
      <c r="R34" s="55"/>
      <c r="S34" s="55"/>
    </row>
    <row r="35" spans="1:44" x14ac:dyDescent="0.2">
      <c r="A35" s="1">
        <v>2009</v>
      </c>
      <c r="B35" s="87">
        <v>150</v>
      </c>
      <c r="C35" s="87">
        <v>105</v>
      </c>
      <c r="D35" s="87">
        <v>505</v>
      </c>
      <c r="E35" s="87">
        <v>48</v>
      </c>
      <c r="F35" s="87">
        <v>18</v>
      </c>
      <c r="G35" s="87" t="s">
        <v>134</v>
      </c>
      <c r="H35" s="87">
        <f t="shared" si="0"/>
        <v>826</v>
      </c>
      <c r="I35" s="87">
        <v>13</v>
      </c>
      <c r="J35" s="87">
        <v>155</v>
      </c>
      <c r="K35" s="87">
        <v>7</v>
      </c>
      <c r="L35" s="88" t="s">
        <v>134</v>
      </c>
      <c r="M35" s="87">
        <f t="shared" si="1"/>
        <v>175</v>
      </c>
      <c r="N35" s="87">
        <v>12</v>
      </c>
      <c r="O35" s="87">
        <v>66</v>
      </c>
      <c r="P35" s="87">
        <f t="shared" si="2"/>
        <v>78</v>
      </c>
      <c r="Q35" s="87">
        <f t="shared" si="3"/>
        <v>1079</v>
      </c>
      <c r="R35" s="55"/>
      <c r="S35" s="55"/>
    </row>
    <row r="36" spans="1:44" x14ac:dyDescent="0.2">
      <c r="A36" s="1">
        <v>2010</v>
      </c>
      <c r="B36" s="87">
        <v>185</v>
      </c>
      <c r="C36" s="87">
        <v>135</v>
      </c>
      <c r="D36" s="87">
        <v>555</v>
      </c>
      <c r="E36" s="87">
        <v>64</v>
      </c>
      <c r="F36" s="87">
        <v>18</v>
      </c>
      <c r="G36" s="87" t="s">
        <v>134</v>
      </c>
      <c r="H36" s="87">
        <f t="shared" si="0"/>
        <v>957</v>
      </c>
      <c r="I36" s="87">
        <v>21</v>
      </c>
      <c r="J36" s="87">
        <v>163</v>
      </c>
      <c r="K36" s="87">
        <v>10</v>
      </c>
      <c r="L36" s="88" t="s">
        <v>134</v>
      </c>
      <c r="M36" s="87">
        <f t="shared" si="1"/>
        <v>194</v>
      </c>
      <c r="N36" s="87">
        <v>18</v>
      </c>
      <c r="O36" s="87">
        <v>86</v>
      </c>
      <c r="P36" s="87">
        <f t="shared" si="2"/>
        <v>104</v>
      </c>
      <c r="Q36" s="87">
        <f t="shared" si="3"/>
        <v>1255</v>
      </c>
      <c r="R36" s="55"/>
      <c r="S36" s="55"/>
    </row>
    <row r="37" spans="1:44" x14ac:dyDescent="0.2">
      <c r="A37" s="1">
        <v>2011</v>
      </c>
      <c r="B37" s="87">
        <v>166</v>
      </c>
      <c r="C37" s="87">
        <v>157</v>
      </c>
      <c r="D37" s="87">
        <v>454</v>
      </c>
      <c r="E37" s="87">
        <v>73</v>
      </c>
      <c r="F37" s="87">
        <v>14</v>
      </c>
      <c r="G37" s="87" t="s">
        <v>134</v>
      </c>
      <c r="H37" s="87">
        <f t="shared" si="0"/>
        <v>864</v>
      </c>
      <c r="I37" s="87">
        <v>21</v>
      </c>
      <c r="J37" s="87">
        <v>93</v>
      </c>
      <c r="K37" s="87">
        <v>6.6</v>
      </c>
      <c r="L37" s="88" t="s">
        <v>134</v>
      </c>
      <c r="M37" s="87">
        <f t="shared" si="1"/>
        <v>120.6</v>
      </c>
      <c r="N37" s="87">
        <v>15</v>
      </c>
      <c r="O37" s="87">
        <v>81</v>
      </c>
      <c r="P37" s="87">
        <f t="shared" si="2"/>
        <v>96</v>
      </c>
      <c r="Q37" s="87">
        <f t="shared" si="3"/>
        <v>1080.5999999999999</v>
      </c>
      <c r="R37" s="55"/>
      <c r="S37" s="55"/>
    </row>
    <row r="38" spans="1:44" x14ac:dyDescent="0.2">
      <c r="A38" s="1">
        <v>2012</v>
      </c>
      <c r="B38" s="87">
        <v>219</v>
      </c>
      <c r="C38" s="87">
        <v>195</v>
      </c>
      <c r="D38" s="87">
        <v>730</v>
      </c>
      <c r="E38" s="87">
        <v>107</v>
      </c>
      <c r="F38" s="87">
        <v>49</v>
      </c>
      <c r="G38" s="87" t="s">
        <v>134</v>
      </c>
      <c r="H38" s="87">
        <f t="shared" si="0"/>
        <v>1300</v>
      </c>
      <c r="I38" s="87">
        <v>22</v>
      </c>
      <c r="J38" s="87">
        <v>146</v>
      </c>
      <c r="K38" s="87">
        <v>10</v>
      </c>
      <c r="L38" s="88" t="s">
        <v>134</v>
      </c>
      <c r="M38" s="87">
        <f t="shared" si="1"/>
        <v>178</v>
      </c>
      <c r="N38" s="87">
        <v>20</v>
      </c>
      <c r="O38" s="87">
        <v>106</v>
      </c>
      <c r="P38" s="87">
        <f t="shared" si="2"/>
        <v>126</v>
      </c>
      <c r="Q38" s="87">
        <f t="shared" si="3"/>
        <v>1604</v>
      </c>
      <c r="R38" s="55"/>
      <c r="S38" s="55"/>
    </row>
    <row r="39" spans="1:44" x14ac:dyDescent="0.2">
      <c r="A39" s="1">
        <v>2013</v>
      </c>
      <c r="B39" s="87">
        <v>138</v>
      </c>
      <c r="C39" s="87">
        <v>131</v>
      </c>
      <c r="D39" s="87">
        <v>426</v>
      </c>
      <c r="E39" s="87">
        <v>78</v>
      </c>
      <c r="F39" s="87">
        <v>33</v>
      </c>
      <c r="G39" s="87" t="s">
        <v>134</v>
      </c>
      <c r="H39" s="87">
        <f t="shared" si="0"/>
        <v>806</v>
      </c>
      <c r="I39" s="87">
        <v>16</v>
      </c>
      <c r="J39" s="87">
        <v>117</v>
      </c>
      <c r="K39" s="87">
        <v>7</v>
      </c>
      <c r="L39" s="88" t="s">
        <v>134</v>
      </c>
      <c r="M39" s="87">
        <f t="shared" si="1"/>
        <v>140</v>
      </c>
      <c r="N39" s="87">
        <v>16</v>
      </c>
      <c r="O39" s="87">
        <v>81</v>
      </c>
      <c r="P39" s="87">
        <f t="shared" si="2"/>
        <v>97</v>
      </c>
      <c r="Q39" s="87">
        <f t="shared" si="3"/>
        <v>1043</v>
      </c>
      <c r="R39" s="55"/>
      <c r="S39" s="55"/>
    </row>
    <row r="40" spans="1:44" x14ac:dyDescent="0.2">
      <c r="A40" s="1">
        <v>2014</v>
      </c>
      <c r="B40" s="87">
        <v>173</v>
      </c>
      <c r="C40" s="87">
        <v>167</v>
      </c>
      <c r="D40" s="87">
        <v>589</v>
      </c>
      <c r="E40" s="87">
        <v>108</v>
      </c>
      <c r="F40" s="87">
        <v>31</v>
      </c>
      <c r="G40" s="87" t="s">
        <v>134</v>
      </c>
      <c r="H40" s="87">
        <f t="shared" si="0"/>
        <v>1068</v>
      </c>
      <c r="I40" s="87">
        <v>11</v>
      </c>
      <c r="J40" s="87">
        <v>127</v>
      </c>
      <c r="K40" s="87">
        <v>4.5</v>
      </c>
      <c r="L40" s="88" t="s">
        <v>134</v>
      </c>
      <c r="M40" s="87">
        <f t="shared" si="1"/>
        <v>142.5</v>
      </c>
      <c r="N40" s="87">
        <v>19</v>
      </c>
      <c r="O40" s="87">
        <v>93</v>
      </c>
      <c r="P40" s="87">
        <f t="shared" si="2"/>
        <v>112</v>
      </c>
      <c r="Q40" s="87">
        <f t="shared" si="3"/>
        <v>1322.5</v>
      </c>
      <c r="R40" s="55"/>
      <c r="S40" s="55"/>
    </row>
    <row r="41" spans="1:44" x14ac:dyDescent="0.2">
      <c r="A41" s="1">
        <v>2015</v>
      </c>
      <c r="B41" s="87">
        <v>196</v>
      </c>
      <c r="C41" s="87">
        <v>180</v>
      </c>
      <c r="D41" s="87">
        <v>777</v>
      </c>
      <c r="E41" s="87">
        <v>82</v>
      </c>
      <c r="F41" s="87">
        <v>41</v>
      </c>
      <c r="G41" s="87" t="s">
        <v>134</v>
      </c>
      <c r="H41" s="87">
        <f t="shared" si="0"/>
        <v>1276</v>
      </c>
      <c r="I41" s="87">
        <v>9</v>
      </c>
      <c r="J41" s="87">
        <v>165</v>
      </c>
      <c r="K41" s="87">
        <v>4.9000000000000004</v>
      </c>
      <c r="L41" s="88" t="s">
        <v>134</v>
      </c>
      <c r="M41" s="87">
        <f t="shared" si="1"/>
        <v>178.9</v>
      </c>
      <c r="N41" s="87">
        <v>19</v>
      </c>
      <c r="O41" s="87">
        <v>87</v>
      </c>
      <c r="P41" s="87">
        <f t="shared" si="2"/>
        <v>106</v>
      </c>
      <c r="Q41" s="87">
        <f t="shared" si="3"/>
        <v>1560.9</v>
      </c>
      <c r="R41" s="55"/>
      <c r="S41" s="55"/>
    </row>
    <row r="42" spans="1:44" x14ac:dyDescent="0.2">
      <c r="A42" s="1">
        <v>2016</v>
      </c>
      <c r="B42" s="87">
        <v>172</v>
      </c>
      <c r="C42" s="87">
        <v>146</v>
      </c>
      <c r="D42" s="87">
        <v>706</v>
      </c>
      <c r="E42" s="87">
        <v>106</v>
      </c>
      <c r="F42" s="87">
        <v>38</v>
      </c>
      <c r="G42" s="87" t="s">
        <v>134</v>
      </c>
      <c r="H42" s="87">
        <f t="shared" si="0"/>
        <v>1168</v>
      </c>
      <c r="I42" s="87">
        <v>12</v>
      </c>
      <c r="J42" s="87">
        <v>205</v>
      </c>
      <c r="K42" s="87">
        <v>8</v>
      </c>
      <c r="L42" s="87">
        <v>23</v>
      </c>
      <c r="M42" s="87">
        <f t="shared" si="1"/>
        <v>248</v>
      </c>
      <c r="N42" s="87">
        <v>21</v>
      </c>
      <c r="O42" s="87">
        <v>99</v>
      </c>
      <c r="P42" s="87">
        <f t="shared" si="2"/>
        <v>120</v>
      </c>
      <c r="Q42" s="87">
        <f t="shared" si="3"/>
        <v>1536</v>
      </c>
      <c r="R42" s="55"/>
      <c r="S42" s="55"/>
    </row>
    <row r="43" spans="1:44" x14ac:dyDescent="0.2">
      <c r="A43" s="1">
        <v>2017</v>
      </c>
      <c r="B43" s="87">
        <v>193</v>
      </c>
      <c r="C43" s="87">
        <v>185</v>
      </c>
      <c r="D43" s="87">
        <v>825</v>
      </c>
      <c r="E43" s="87">
        <v>118</v>
      </c>
      <c r="F43" s="87">
        <v>43</v>
      </c>
      <c r="G43" s="87" t="s">
        <v>134</v>
      </c>
      <c r="H43" s="87">
        <f t="shared" si="0"/>
        <v>1364</v>
      </c>
      <c r="I43" s="87">
        <v>21</v>
      </c>
      <c r="J43" s="87">
        <v>210</v>
      </c>
      <c r="K43" s="87">
        <v>7.6</v>
      </c>
      <c r="L43" s="87">
        <v>29</v>
      </c>
      <c r="M43" s="87">
        <f t="shared" si="1"/>
        <v>267.60000000000002</v>
      </c>
      <c r="N43" s="87">
        <v>27</v>
      </c>
      <c r="O43" s="87">
        <v>117</v>
      </c>
      <c r="P43" s="87">
        <v>144</v>
      </c>
      <c r="Q43" s="87">
        <f t="shared" si="3"/>
        <v>1775.6</v>
      </c>
      <c r="R43" s="55"/>
      <c r="S43" s="55"/>
    </row>
    <row r="44" spans="1:44" x14ac:dyDescent="0.2">
      <c r="A44" s="1">
        <v>2018</v>
      </c>
      <c r="B44" s="87">
        <v>161</v>
      </c>
      <c r="C44" s="87">
        <v>143</v>
      </c>
      <c r="D44" s="87">
        <v>655</v>
      </c>
      <c r="E44" s="87">
        <v>80</v>
      </c>
      <c r="F44" s="87">
        <v>23</v>
      </c>
      <c r="G44" s="87" t="s">
        <v>134</v>
      </c>
      <c r="H44" s="87">
        <f t="shared" si="0"/>
        <v>1062</v>
      </c>
      <c r="I44" s="87">
        <v>14</v>
      </c>
      <c r="J44" s="87">
        <v>142</v>
      </c>
      <c r="K44" s="87">
        <v>5.6</v>
      </c>
      <c r="L44" s="87">
        <v>23</v>
      </c>
      <c r="M44" s="87">
        <f t="shared" si="1"/>
        <v>184.6</v>
      </c>
      <c r="N44" s="87">
        <v>24</v>
      </c>
      <c r="O44" s="87">
        <v>98</v>
      </c>
      <c r="P44" s="87">
        <v>122</v>
      </c>
      <c r="Q44" s="87">
        <f t="shared" si="3"/>
        <v>1368.6</v>
      </c>
      <c r="R44" s="55"/>
      <c r="S44" s="55"/>
    </row>
    <row r="45" spans="1:44" x14ac:dyDescent="0.2">
      <c r="A45" s="1">
        <v>2019</v>
      </c>
      <c r="B45" s="87">
        <v>156</v>
      </c>
      <c r="C45" s="87">
        <v>155</v>
      </c>
      <c r="D45" s="87">
        <v>660</v>
      </c>
      <c r="E45" s="87">
        <v>62</v>
      </c>
      <c r="F45" s="87">
        <v>19</v>
      </c>
      <c r="G45" s="87" t="s">
        <v>134</v>
      </c>
      <c r="H45" s="87">
        <f t="shared" si="0"/>
        <v>1052</v>
      </c>
      <c r="I45" s="87">
        <v>14</v>
      </c>
      <c r="J45" s="87">
        <v>157</v>
      </c>
      <c r="K45" s="87">
        <v>4.4000000000000004</v>
      </c>
      <c r="L45" s="87">
        <v>33</v>
      </c>
      <c r="M45" s="87">
        <f t="shared" si="1"/>
        <v>208.4</v>
      </c>
      <c r="N45" s="87">
        <v>24</v>
      </c>
      <c r="O45" s="87">
        <v>102</v>
      </c>
      <c r="P45" s="87">
        <v>126</v>
      </c>
      <c r="Q45" s="87">
        <f t="shared" si="3"/>
        <v>1386.4</v>
      </c>
      <c r="R45" s="55"/>
      <c r="S45" s="55"/>
    </row>
    <row r="46" spans="1:44" x14ac:dyDescent="0.2">
      <c r="A46" s="1">
        <v>2020</v>
      </c>
      <c r="B46" s="87">
        <v>183</v>
      </c>
      <c r="C46" s="87">
        <v>164</v>
      </c>
      <c r="D46" s="87">
        <v>805</v>
      </c>
      <c r="E46" s="87">
        <v>80</v>
      </c>
      <c r="F46" s="87">
        <v>22</v>
      </c>
      <c r="G46" s="87" t="s">
        <v>134</v>
      </c>
      <c r="H46" s="87">
        <f t="shared" si="0"/>
        <v>1254</v>
      </c>
      <c r="I46" s="87">
        <v>14</v>
      </c>
      <c r="J46" s="87">
        <v>168</v>
      </c>
      <c r="K46" s="87">
        <v>5.2</v>
      </c>
      <c r="L46" s="87">
        <v>38</v>
      </c>
      <c r="M46" s="87">
        <f t="shared" si="1"/>
        <v>225.2</v>
      </c>
      <c r="N46" s="87">
        <v>27</v>
      </c>
      <c r="O46" s="87">
        <v>105</v>
      </c>
      <c r="P46" s="87">
        <v>132</v>
      </c>
      <c r="Q46" s="87">
        <f t="shared" si="3"/>
        <v>1611.2</v>
      </c>
      <c r="R46" s="55"/>
      <c r="S46" s="55"/>
      <c r="AI46" s="71"/>
      <c r="AJ46" s="71"/>
      <c r="AK46" s="71"/>
      <c r="AL46" s="71"/>
      <c r="AM46" s="71"/>
      <c r="AN46" s="71"/>
      <c r="AO46" s="71"/>
      <c r="AP46" s="71"/>
      <c r="AQ46" s="71"/>
      <c r="AR46" s="71"/>
    </row>
    <row r="47" spans="1:44" x14ac:dyDescent="0.2">
      <c r="A47" s="1">
        <v>2021</v>
      </c>
      <c r="B47" s="87">
        <v>182</v>
      </c>
      <c r="C47" s="87">
        <v>159</v>
      </c>
      <c r="D47" s="87">
        <v>750</v>
      </c>
      <c r="E47" s="87">
        <v>66</v>
      </c>
      <c r="F47" s="87">
        <v>17</v>
      </c>
      <c r="G47" s="87" t="s">
        <v>134</v>
      </c>
      <c r="H47" s="87">
        <f t="shared" si="0"/>
        <v>1174</v>
      </c>
      <c r="I47" s="87">
        <v>15</v>
      </c>
      <c r="J47" s="87">
        <v>159</v>
      </c>
      <c r="K47" s="87">
        <v>11</v>
      </c>
      <c r="L47" s="87">
        <v>35</v>
      </c>
      <c r="M47" s="87">
        <f t="shared" si="1"/>
        <v>220</v>
      </c>
      <c r="N47" s="87">
        <v>30</v>
      </c>
      <c r="O47" s="87">
        <v>114</v>
      </c>
      <c r="P47" s="87">
        <v>144</v>
      </c>
      <c r="Q47" s="87">
        <f t="shared" si="3"/>
        <v>1538</v>
      </c>
      <c r="R47" s="55"/>
      <c r="S47" s="55"/>
      <c r="AI47" s="71"/>
      <c r="AJ47" s="71"/>
      <c r="AK47" s="71"/>
      <c r="AL47" s="71"/>
      <c r="AM47" s="71"/>
      <c r="AN47" s="71"/>
      <c r="AO47" s="71"/>
      <c r="AP47" s="71"/>
      <c r="AQ47" s="71"/>
      <c r="AR47" s="71"/>
    </row>
    <row r="48" spans="1:44" x14ac:dyDescent="0.2">
      <c r="A48" s="1">
        <v>2022</v>
      </c>
      <c r="B48" s="87">
        <v>163</v>
      </c>
      <c r="C48" s="87">
        <v>144</v>
      </c>
      <c r="D48" s="87">
        <v>680</v>
      </c>
      <c r="E48" s="87">
        <v>68</v>
      </c>
      <c r="F48" s="87">
        <v>14</v>
      </c>
      <c r="G48" s="87" t="s">
        <v>134</v>
      </c>
      <c r="H48" s="87">
        <f t="shared" si="0"/>
        <v>1069</v>
      </c>
      <c r="I48" s="87">
        <v>17</v>
      </c>
      <c r="J48" s="87">
        <v>114</v>
      </c>
      <c r="K48" s="87">
        <v>5.4</v>
      </c>
      <c r="L48" s="87">
        <v>32</v>
      </c>
      <c r="M48" s="87">
        <f t="shared" si="1"/>
        <v>168.4</v>
      </c>
      <c r="N48" s="87">
        <v>28</v>
      </c>
      <c r="O48" s="87">
        <v>116</v>
      </c>
      <c r="P48" s="87">
        <v>144</v>
      </c>
      <c r="Q48" s="87">
        <f t="shared" si="3"/>
        <v>1381.4</v>
      </c>
      <c r="R48" s="55"/>
      <c r="S48" s="55"/>
      <c r="AI48" s="71"/>
      <c r="AJ48" s="71"/>
      <c r="AK48" s="71"/>
      <c r="AL48" s="71"/>
      <c r="AM48" s="71"/>
      <c r="AN48" s="71"/>
      <c r="AO48" s="71"/>
      <c r="AP48" s="71"/>
      <c r="AQ48" s="71"/>
      <c r="AR48" s="71"/>
    </row>
    <row r="49" spans="1:44" x14ac:dyDescent="0.2">
      <c r="A49" s="1">
        <v>2023</v>
      </c>
      <c r="B49" s="87">
        <v>171</v>
      </c>
      <c r="C49" s="87">
        <v>152</v>
      </c>
      <c r="D49" s="87">
        <v>769</v>
      </c>
      <c r="E49" s="87">
        <v>74</v>
      </c>
      <c r="F49" s="87">
        <v>16</v>
      </c>
      <c r="G49" s="87" t="s">
        <v>134</v>
      </c>
      <c r="H49" s="87">
        <f t="shared" si="0"/>
        <v>1182</v>
      </c>
      <c r="I49" s="87">
        <v>15</v>
      </c>
      <c r="J49" s="87">
        <v>165</v>
      </c>
      <c r="K49" s="87">
        <v>9</v>
      </c>
      <c r="L49" s="87">
        <v>34</v>
      </c>
      <c r="M49" s="87">
        <f t="shared" si="1"/>
        <v>223</v>
      </c>
      <c r="N49" s="87">
        <v>29</v>
      </c>
      <c r="O49" s="87">
        <v>123</v>
      </c>
      <c r="P49" s="87">
        <v>152</v>
      </c>
      <c r="Q49" s="87">
        <f t="shared" si="3"/>
        <v>1557</v>
      </c>
      <c r="R49" s="55"/>
      <c r="S49" s="55"/>
      <c r="AI49" s="71"/>
      <c r="AJ49" s="71"/>
      <c r="AK49" s="71"/>
      <c r="AL49" s="71"/>
      <c r="AM49" s="71"/>
      <c r="AN49" s="71"/>
      <c r="AO49" s="71"/>
      <c r="AP49" s="71"/>
      <c r="AQ49" s="71"/>
      <c r="AR49" s="71"/>
    </row>
    <row r="50" spans="1:44" x14ac:dyDescent="0.2">
      <c r="A50" s="1">
        <v>2024</v>
      </c>
      <c r="B50" s="87">
        <v>188</v>
      </c>
      <c r="C50" s="87">
        <v>157</v>
      </c>
      <c r="D50" s="87">
        <v>845</v>
      </c>
      <c r="E50" s="87">
        <v>79</v>
      </c>
      <c r="F50" s="87">
        <v>25</v>
      </c>
      <c r="G50" s="87">
        <v>23</v>
      </c>
      <c r="H50" s="87">
        <f t="shared" si="0"/>
        <v>1317</v>
      </c>
      <c r="I50" s="87">
        <v>18</v>
      </c>
      <c r="J50" s="87">
        <v>220</v>
      </c>
      <c r="K50" s="88" t="s">
        <v>134</v>
      </c>
      <c r="L50" s="87">
        <v>44</v>
      </c>
      <c r="M50" s="87">
        <f t="shared" si="1"/>
        <v>282</v>
      </c>
      <c r="N50" s="87">
        <v>30</v>
      </c>
      <c r="O50" s="87">
        <v>129</v>
      </c>
      <c r="P50" s="87">
        <v>159</v>
      </c>
      <c r="Q50" s="87">
        <f t="shared" si="3"/>
        <v>1758</v>
      </c>
      <c r="R50" s="55"/>
      <c r="S50" s="55"/>
      <c r="AI50" s="71"/>
      <c r="AJ50" s="71"/>
      <c r="AK50" s="71"/>
      <c r="AL50" s="71"/>
      <c r="AM50" s="71"/>
      <c r="AN50" s="71"/>
      <c r="AO50" s="71"/>
      <c r="AP50" s="71"/>
      <c r="AQ50" s="71"/>
      <c r="AR50" s="71"/>
    </row>
    <row r="51" spans="1:44" x14ac:dyDescent="0.2">
      <c r="A51" s="79" t="s">
        <v>171</v>
      </c>
      <c r="B51" s="80"/>
      <c r="C51" s="80"/>
      <c r="D51" s="80"/>
      <c r="E51" s="80"/>
      <c r="F51" s="80"/>
      <c r="G51" s="80"/>
      <c r="H51" s="80"/>
      <c r="I51" s="81"/>
      <c r="J51" s="80"/>
      <c r="K51" s="80"/>
      <c r="L51" s="80"/>
      <c r="M51" s="80"/>
      <c r="N51" s="80"/>
      <c r="O51" s="80"/>
      <c r="P51" s="80"/>
      <c r="Q51" s="82"/>
      <c r="R51" s="55"/>
      <c r="S51" s="55"/>
    </row>
    <row r="52" spans="1:44" x14ac:dyDescent="0.2">
      <c r="A52" s="1" t="s">
        <v>189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70"/>
      <c r="R52" s="55"/>
      <c r="S52" s="55"/>
    </row>
    <row r="53" spans="1:44" x14ac:dyDescent="0.2">
      <c r="A53" s="1" t="s">
        <v>187</v>
      </c>
    </row>
    <row r="54" spans="1:44" x14ac:dyDescent="0.2">
      <c r="A54" t="s">
        <v>188</v>
      </c>
    </row>
    <row r="55" spans="1:44" x14ac:dyDescent="0.2">
      <c r="Q55" s="32" t="s">
        <v>191</v>
      </c>
    </row>
  </sheetData>
  <pageMargins left="0.7" right="0.7" top="0.75" bottom="1.25" header="0.3" footer="0.3"/>
  <pageSetup scale="76" firstPageNumber="14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D4CF-2941-40DA-A3A6-3BEC3253AC8F}">
  <sheetPr>
    <pageSetUpPr fitToPage="1"/>
  </sheetPr>
  <dimension ref="A1:AT55"/>
  <sheetViews>
    <sheetView workbookViewId="0"/>
  </sheetViews>
  <sheetFormatPr defaultRowHeight="10.199999999999999" x14ac:dyDescent="0.2"/>
  <cols>
    <col min="1" max="1" width="6.42578125" customWidth="1"/>
    <col min="2" max="3" width="8.85546875" customWidth="1"/>
    <col min="4" max="4" width="9.85546875" customWidth="1"/>
    <col min="5" max="7" width="8.85546875" customWidth="1"/>
    <col min="8" max="8" width="9.85546875" customWidth="1"/>
    <col min="9" max="12" width="8.85546875" customWidth="1"/>
    <col min="13" max="13" width="9.85546875" customWidth="1"/>
    <col min="14" max="15" width="8.85546875" customWidth="1"/>
    <col min="16" max="16" width="9.85546875" customWidth="1"/>
    <col min="17" max="17" width="11.85546875" customWidth="1"/>
    <col min="18" max="18" width="10.7109375" bestFit="1" customWidth="1"/>
  </cols>
  <sheetData>
    <row r="1" spans="1:19" x14ac:dyDescent="0.2">
      <c r="A1" s="15" t="s">
        <v>183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 t="s">
        <v>50</v>
      </c>
      <c r="Q1" s="15" t="s">
        <v>50</v>
      </c>
    </row>
    <row r="2" spans="1:19" ht="12" customHeight="1" x14ac:dyDescent="0.2">
      <c r="A2" t="s">
        <v>114</v>
      </c>
      <c r="B2" s="37"/>
      <c r="C2" s="20"/>
      <c r="D2" s="18" t="s">
        <v>115</v>
      </c>
      <c r="E2" s="18"/>
      <c r="F2" s="18"/>
      <c r="G2" s="18"/>
      <c r="H2" s="36"/>
      <c r="I2" s="18"/>
      <c r="J2" s="66" t="s">
        <v>116</v>
      </c>
      <c r="K2" s="18"/>
      <c r="L2" s="18"/>
      <c r="M2" s="36"/>
      <c r="N2" s="33"/>
      <c r="O2" s="37" t="s">
        <v>117</v>
      </c>
      <c r="P2" s="36"/>
      <c r="Q2" s="39" t="s">
        <v>118</v>
      </c>
    </row>
    <row r="3" spans="1:19" x14ac:dyDescent="0.2">
      <c r="A3" s="15" t="s">
        <v>119</v>
      </c>
      <c r="B3" s="44" t="s">
        <v>120</v>
      </c>
      <c r="C3" s="20" t="s">
        <v>121</v>
      </c>
      <c r="D3" s="20" t="s">
        <v>122</v>
      </c>
      <c r="E3" s="20" t="s">
        <v>123</v>
      </c>
      <c r="F3" s="20" t="s">
        <v>124</v>
      </c>
      <c r="G3" s="20" t="s">
        <v>186</v>
      </c>
      <c r="H3" s="45" t="s">
        <v>39</v>
      </c>
      <c r="I3" s="20" t="s">
        <v>125</v>
      </c>
      <c r="J3" s="20" t="s">
        <v>126</v>
      </c>
      <c r="K3" s="20" t="s">
        <v>127</v>
      </c>
      <c r="L3" s="20" t="s">
        <v>128</v>
      </c>
      <c r="M3" s="45" t="s">
        <v>39</v>
      </c>
      <c r="N3" s="20" t="s">
        <v>129</v>
      </c>
      <c r="O3" s="20" t="s">
        <v>130</v>
      </c>
      <c r="P3" s="45" t="s">
        <v>39</v>
      </c>
      <c r="Q3" s="20" t="s">
        <v>131</v>
      </c>
    </row>
    <row r="4" spans="1:19" x14ac:dyDescent="0.2">
      <c r="C4" s="67"/>
      <c r="D4" s="67"/>
      <c r="E4" s="67"/>
      <c r="F4" s="67"/>
      <c r="G4" s="67"/>
      <c r="H4" s="67"/>
      <c r="I4" s="67"/>
      <c r="J4" s="67"/>
      <c r="K4" s="68" t="s">
        <v>173</v>
      </c>
      <c r="L4" s="68"/>
      <c r="M4" s="67"/>
      <c r="N4" s="67"/>
      <c r="O4" s="67"/>
      <c r="P4" s="67"/>
      <c r="Q4" s="67"/>
    </row>
    <row r="5" spans="1:19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x14ac:dyDescent="0.2">
      <c r="A6" t="s">
        <v>133</v>
      </c>
      <c r="B6" s="65">
        <v>265000</v>
      </c>
      <c r="C6" s="65">
        <v>144480</v>
      </c>
      <c r="D6" s="65">
        <v>994590</v>
      </c>
      <c r="E6" s="65">
        <v>14300</v>
      </c>
      <c r="F6" s="65">
        <v>7500</v>
      </c>
      <c r="G6" s="87" t="s">
        <v>134</v>
      </c>
      <c r="H6" s="65">
        <f t="shared" ref="H6:H50" si="0">SUM(B6:G6)</f>
        <v>1425870</v>
      </c>
      <c r="I6" s="65">
        <v>140175</v>
      </c>
      <c r="J6" s="65">
        <v>293250</v>
      </c>
      <c r="K6" s="65">
        <v>22352</v>
      </c>
      <c r="L6" s="90" t="s">
        <v>134</v>
      </c>
      <c r="M6" s="65">
        <f t="shared" ref="M6:M50" si="1">SUM(I6:L6)</f>
        <v>455777</v>
      </c>
      <c r="N6" s="65">
        <v>129785</v>
      </c>
      <c r="O6" s="65">
        <v>291330</v>
      </c>
      <c r="P6" s="65">
        <f t="shared" ref="P6:P42" si="2">SUM(N6:O6)</f>
        <v>421115</v>
      </c>
      <c r="Q6" s="65">
        <f t="shared" ref="Q6:Q50" si="3">H6+M6+P6</f>
        <v>2302762</v>
      </c>
      <c r="R6" s="49"/>
      <c r="S6" s="65"/>
    </row>
    <row r="7" spans="1:19" x14ac:dyDescent="0.2">
      <c r="A7" t="s">
        <v>135</v>
      </c>
      <c r="B7" s="65">
        <v>602730</v>
      </c>
      <c r="C7" s="65">
        <v>178200</v>
      </c>
      <c r="D7" s="65">
        <v>1655450</v>
      </c>
      <c r="E7" s="65">
        <v>39000</v>
      </c>
      <c r="F7" s="65">
        <v>12730</v>
      </c>
      <c r="G7" s="87" t="s">
        <v>134</v>
      </c>
      <c r="H7" s="65">
        <f t="shared" si="0"/>
        <v>2488110</v>
      </c>
      <c r="I7" s="65">
        <v>189280</v>
      </c>
      <c r="J7" s="65">
        <v>393250</v>
      </c>
      <c r="K7" s="65">
        <v>24900</v>
      </c>
      <c r="L7" s="90" t="s">
        <v>134</v>
      </c>
      <c r="M7" s="65">
        <f t="shared" si="1"/>
        <v>607430</v>
      </c>
      <c r="N7" s="65">
        <v>330750</v>
      </c>
      <c r="O7" s="65">
        <v>555560</v>
      </c>
      <c r="P7" s="65">
        <f t="shared" si="2"/>
        <v>886310</v>
      </c>
      <c r="Q7" s="65">
        <f t="shared" si="3"/>
        <v>3981850</v>
      </c>
      <c r="R7" s="49"/>
      <c r="S7" s="65"/>
    </row>
    <row r="8" spans="1:19" x14ac:dyDescent="0.2">
      <c r="A8" t="s">
        <v>136</v>
      </c>
      <c r="B8" s="65">
        <v>522150</v>
      </c>
      <c r="C8" s="65">
        <v>153000</v>
      </c>
      <c r="D8" s="65">
        <v>1517480</v>
      </c>
      <c r="E8" s="65">
        <v>30000</v>
      </c>
      <c r="F8" s="90" t="s">
        <v>134</v>
      </c>
      <c r="G8" s="87" t="s">
        <v>134</v>
      </c>
      <c r="H8" s="65">
        <f t="shared" si="0"/>
        <v>2222630</v>
      </c>
      <c r="I8" s="65">
        <v>174580</v>
      </c>
      <c r="J8" s="65">
        <v>325125</v>
      </c>
      <c r="K8" s="65">
        <v>25220</v>
      </c>
      <c r="L8" s="90" t="s">
        <v>134</v>
      </c>
      <c r="M8" s="65">
        <f t="shared" si="1"/>
        <v>524925</v>
      </c>
      <c r="N8" s="65">
        <v>275500</v>
      </c>
      <c r="O8" s="65">
        <v>417200</v>
      </c>
      <c r="P8" s="65">
        <f t="shared" si="2"/>
        <v>692700</v>
      </c>
      <c r="Q8" s="65">
        <f t="shared" si="3"/>
        <v>3440255</v>
      </c>
      <c r="R8" s="49"/>
      <c r="S8" s="65"/>
    </row>
    <row r="9" spans="1:19" x14ac:dyDescent="0.2">
      <c r="A9" t="s">
        <v>137</v>
      </c>
      <c r="B9" s="65">
        <v>454500</v>
      </c>
      <c r="C9" s="65">
        <v>166800</v>
      </c>
      <c r="D9" s="65">
        <v>1567980</v>
      </c>
      <c r="E9" s="65">
        <v>25000</v>
      </c>
      <c r="F9" s="90" t="s">
        <v>134</v>
      </c>
      <c r="G9" s="87" t="s">
        <v>134</v>
      </c>
      <c r="H9" s="65">
        <f t="shared" si="0"/>
        <v>2214280</v>
      </c>
      <c r="I9" s="65">
        <v>176540</v>
      </c>
      <c r="J9" s="65">
        <v>362275</v>
      </c>
      <c r="K9" s="65">
        <v>25630</v>
      </c>
      <c r="L9" s="90" t="s">
        <v>134</v>
      </c>
      <c r="M9" s="65">
        <f t="shared" si="1"/>
        <v>564445</v>
      </c>
      <c r="N9" s="65">
        <v>198550</v>
      </c>
      <c r="O9" s="65">
        <v>318255</v>
      </c>
      <c r="P9" s="65">
        <f t="shared" si="2"/>
        <v>516805</v>
      </c>
      <c r="Q9" s="65">
        <f t="shared" si="3"/>
        <v>3295530</v>
      </c>
      <c r="R9" s="49"/>
      <c r="S9" s="65"/>
    </row>
    <row r="10" spans="1:19" x14ac:dyDescent="0.2">
      <c r="A10" t="s">
        <v>138</v>
      </c>
      <c r="B10" s="65">
        <v>648550</v>
      </c>
      <c r="C10" s="65">
        <v>246400</v>
      </c>
      <c r="D10" s="65">
        <v>2160000</v>
      </c>
      <c r="E10" s="65">
        <v>39150</v>
      </c>
      <c r="F10" s="90" t="s">
        <v>134</v>
      </c>
      <c r="G10" s="87" t="s">
        <v>134</v>
      </c>
      <c r="H10" s="65">
        <f t="shared" si="0"/>
        <v>3094100</v>
      </c>
      <c r="I10" s="65">
        <v>189200</v>
      </c>
      <c r="J10" s="65">
        <v>371295</v>
      </c>
      <c r="K10" s="65">
        <v>32190</v>
      </c>
      <c r="L10" s="90" t="s">
        <v>134</v>
      </c>
      <c r="M10" s="65">
        <f t="shared" si="1"/>
        <v>592685</v>
      </c>
      <c r="N10" s="65">
        <v>269660</v>
      </c>
      <c r="O10" s="65">
        <v>449500</v>
      </c>
      <c r="P10" s="65">
        <f t="shared" si="2"/>
        <v>719160</v>
      </c>
      <c r="Q10" s="65">
        <f t="shared" si="3"/>
        <v>4405945</v>
      </c>
      <c r="R10" s="49"/>
      <c r="S10" s="65"/>
    </row>
    <row r="11" spans="1:19" x14ac:dyDescent="0.2">
      <c r="A11" t="s">
        <v>139</v>
      </c>
      <c r="B11" s="65">
        <v>590000</v>
      </c>
      <c r="C11" s="65">
        <v>216000</v>
      </c>
      <c r="D11" s="65">
        <v>1921320</v>
      </c>
      <c r="E11" s="65">
        <v>34200</v>
      </c>
      <c r="F11" s="90" t="s">
        <v>134</v>
      </c>
      <c r="G11" s="87" t="s">
        <v>134</v>
      </c>
      <c r="H11" s="65">
        <f t="shared" si="0"/>
        <v>2761520</v>
      </c>
      <c r="I11" s="65">
        <v>170980</v>
      </c>
      <c r="J11" s="65">
        <v>422625</v>
      </c>
      <c r="K11" s="65">
        <v>31992</v>
      </c>
      <c r="L11" s="90" t="s">
        <v>134</v>
      </c>
      <c r="M11" s="65">
        <f t="shared" si="1"/>
        <v>625597</v>
      </c>
      <c r="N11" s="65">
        <v>283680</v>
      </c>
      <c r="O11" s="65">
        <v>451990</v>
      </c>
      <c r="P11" s="65">
        <f t="shared" si="2"/>
        <v>735670</v>
      </c>
      <c r="Q11" s="65">
        <f t="shared" si="3"/>
        <v>4122787</v>
      </c>
      <c r="R11" s="49"/>
      <c r="S11" s="65"/>
    </row>
    <row r="12" spans="1:19" x14ac:dyDescent="0.2">
      <c r="A12" t="s">
        <v>140</v>
      </c>
      <c r="B12" s="65">
        <v>494940</v>
      </c>
      <c r="C12" s="65">
        <v>233160</v>
      </c>
      <c r="D12" s="65">
        <v>1632575</v>
      </c>
      <c r="E12" s="65">
        <v>25530</v>
      </c>
      <c r="F12" s="90" t="s">
        <v>134</v>
      </c>
      <c r="G12" s="87" t="s">
        <v>134</v>
      </c>
      <c r="H12" s="65">
        <f t="shared" si="0"/>
        <v>2386205</v>
      </c>
      <c r="I12" s="65">
        <v>180840</v>
      </c>
      <c r="J12" s="65">
        <v>385000</v>
      </c>
      <c r="K12" s="65">
        <v>28700</v>
      </c>
      <c r="L12" s="90" t="s">
        <v>134</v>
      </c>
      <c r="M12" s="65">
        <f t="shared" si="1"/>
        <v>594540</v>
      </c>
      <c r="N12" s="65">
        <v>275900</v>
      </c>
      <c r="O12" s="65">
        <v>440440</v>
      </c>
      <c r="P12" s="65">
        <f t="shared" si="2"/>
        <v>716340</v>
      </c>
      <c r="Q12" s="65">
        <f t="shared" si="3"/>
        <v>3697085</v>
      </c>
      <c r="R12" s="49"/>
      <c r="S12" s="65"/>
    </row>
    <row r="13" spans="1:19" x14ac:dyDescent="0.2">
      <c r="A13" t="s">
        <v>141</v>
      </c>
      <c r="B13" s="65">
        <v>465300</v>
      </c>
      <c r="C13" s="65">
        <v>215800</v>
      </c>
      <c r="D13" s="65">
        <v>1575000</v>
      </c>
      <c r="E13" s="65">
        <v>31200</v>
      </c>
      <c r="F13" s="90" t="s">
        <v>134</v>
      </c>
      <c r="G13" s="87" t="s">
        <v>134</v>
      </c>
      <c r="H13" s="65">
        <f t="shared" si="0"/>
        <v>2287300</v>
      </c>
      <c r="I13" s="65">
        <v>222750</v>
      </c>
      <c r="J13" s="65">
        <v>441000</v>
      </c>
      <c r="K13" s="65">
        <v>29760</v>
      </c>
      <c r="L13" s="90" t="s">
        <v>134</v>
      </c>
      <c r="M13" s="65">
        <f t="shared" si="1"/>
        <v>693510</v>
      </c>
      <c r="N13" s="65">
        <v>243000</v>
      </c>
      <c r="O13" s="65">
        <v>392200</v>
      </c>
      <c r="P13" s="65">
        <f t="shared" si="2"/>
        <v>635200</v>
      </c>
      <c r="Q13" s="65">
        <f t="shared" si="3"/>
        <v>3616010</v>
      </c>
      <c r="R13" s="49"/>
      <c r="S13" s="65"/>
    </row>
    <row r="14" spans="1:19" x14ac:dyDescent="0.2">
      <c r="A14" t="s">
        <v>142</v>
      </c>
      <c r="B14" s="65">
        <v>561680</v>
      </c>
      <c r="C14" s="65">
        <v>228600</v>
      </c>
      <c r="D14" s="65">
        <v>1801550</v>
      </c>
      <c r="E14" s="65">
        <v>32110</v>
      </c>
      <c r="F14" s="90" t="s">
        <v>134</v>
      </c>
      <c r="G14" s="87" t="s">
        <v>134</v>
      </c>
      <c r="H14" s="65">
        <f t="shared" si="0"/>
        <v>2623940</v>
      </c>
      <c r="I14" s="65">
        <v>225040</v>
      </c>
      <c r="J14" s="65">
        <v>417500</v>
      </c>
      <c r="K14" s="65">
        <v>30552</v>
      </c>
      <c r="L14" s="90" t="s">
        <v>134</v>
      </c>
      <c r="M14" s="65">
        <f t="shared" si="1"/>
        <v>673092</v>
      </c>
      <c r="N14" s="65">
        <v>263900</v>
      </c>
      <c r="O14" s="65">
        <v>419985</v>
      </c>
      <c r="P14" s="65">
        <f t="shared" si="2"/>
        <v>683885</v>
      </c>
      <c r="Q14" s="65">
        <f t="shared" si="3"/>
        <v>3980917</v>
      </c>
      <c r="R14" s="49"/>
      <c r="S14" s="65"/>
    </row>
    <row r="15" spans="1:19" x14ac:dyDescent="0.2">
      <c r="A15" t="s">
        <v>143</v>
      </c>
      <c r="B15" s="65">
        <v>537750</v>
      </c>
      <c r="C15" s="65">
        <v>214890</v>
      </c>
      <c r="D15" s="65">
        <v>1849500</v>
      </c>
      <c r="E15" s="65">
        <v>32500</v>
      </c>
      <c r="F15" s="90" t="s">
        <v>134</v>
      </c>
      <c r="G15" s="87" t="s">
        <v>134</v>
      </c>
      <c r="H15" s="65">
        <f t="shared" si="0"/>
        <v>2634640</v>
      </c>
      <c r="I15" s="65">
        <v>210700</v>
      </c>
      <c r="J15" s="65">
        <v>484700</v>
      </c>
      <c r="K15" s="65">
        <v>43680</v>
      </c>
      <c r="L15" s="90" t="s">
        <v>134</v>
      </c>
      <c r="M15" s="65">
        <f t="shared" si="1"/>
        <v>739080</v>
      </c>
      <c r="N15" s="65">
        <v>246155</v>
      </c>
      <c r="O15" s="65">
        <v>370120</v>
      </c>
      <c r="P15" s="65">
        <f t="shared" si="2"/>
        <v>616275</v>
      </c>
      <c r="Q15" s="65">
        <f t="shared" si="3"/>
        <v>3989995</v>
      </c>
      <c r="R15" s="49"/>
      <c r="S15" s="65"/>
    </row>
    <row r="16" spans="1:19" x14ac:dyDescent="0.2">
      <c r="A16" t="s">
        <v>144</v>
      </c>
      <c r="B16" s="65">
        <v>386560</v>
      </c>
      <c r="C16" s="65">
        <v>234000</v>
      </c>
      <c r="D16" s="65">
        <v>1347500</v>
      </c>
      <c r="E16" s="65">
        <v>30105</v>
      </c>
      <c r="F16" s="90" t="s">
        <v>134</v>
      </c>
      <c r="G16" s="87" t="s">
        <v>134</v>
      </c>
      <c r="H16" s="65">
        <f t="shared" si="0"/>
        <v>1998165</v>
      </c>
      <c r="I16" s="65">
        <v>235320</v>
      </c>
      <c r="J16" s="65">
        <v>534650</v>
      </c>
      <c r="K16" s="65">
        <v>50000</v>
      </c>
      <c r="L16" s="90" t="s">
        <v>134</v>
      </c>
      <c r="M16" s="65">
        <f t="shared" si="1"/>
        <v>819970</v>
      </c>
      <c r="N16" s="65">
        <v>309915</v>
      </c>
      <c r="O16" s="65">
        <v>475600</v>
      </c>
      <c r="P16" s="65">
        <f t="shared" si="2"/>
        <v>785515</v>
      </c>
      <c r="Q16" s="65">
        <f t="shared" si="3"/>
        <v>3603650</v>
      </c>
      <c r="R16" s="49"/>
      <c r="S16" s="65"/>
    </row>
    <row r="17" spans="1:19" x14ac:dyDescent="0.2">
      <c r="A17" t="s">
        <v>145</v>
      </c>
      <c r="B17" s="65">
        <v>638485</v>
      </c>
      <c r="C17" s="65">
        <v>279660</v>
      </c>
      <c r="D17" s="65">
        <v>2228550</v>
      </c>
      <c r="E17" s="65">
        <v>33600</v>
      </c>
      <c r="F17" s="90" t="s">
        <v>134</v>
      </c>
      <c r="G17" s="87" t="s">
        <v>134</v>
      </c>
      <c r="H17" s="65">
        <f t="shared" si="0"/>
        <v>3180295</v>
      </c>
      <c r="I17" s="65">
        <v>243800</v>
      </c>
      <c r="J17" s="65">
        <v>682500</v>
      </c>
      <c r="K17" s="65">
        <v>51075</v>
      </c>
      <c r="L17" s="90" t="s">
        <v>134</v>
      </c>
      <c r="M17" s="65">
        <f t="shared" si="1"/>
        <v>977375</v>
      </c>
      <c r="N17" s="65">
        <v>307200</v>
      </c>
      <c r="O17" s="65">
        <v>461700</v>
      </c>
      <c r="P17" s="65">
        <f t="shared" si="2"/>
        <v>768900</v>
      </c>
      <c r="Q17" s="65">
        <f t="shared" si="3"/>
        <v>4926570</v>
      </c>
      <c r="R17" s="49"/>
      <c r="S17" s="65"/>
    </row>
    <row r="18" spans="1:19" x14ac:dyDescent="0.2">
      <c r="A18" t="s">
        <v>146</v>
      </c>
      <c r="B18" s="65">
        <v>591180</v>
      </c>
      <c r="C18" s="65">
        <v>202510</v>
      </c>
      <c r="D18" s="65">
        <v>1820465</v>
      </c>
      <c r="E18" s="65">
        <v>32500</v>
      </c>
      <c r="F18" s="90" t="s">
        <v>134</v>
      </c>
      <c r="G18" s="87" t="s">
        <v>134</v>
      </c>
      <c r="H18" s="65">
        <f t="shared" si="0"/>
        <v>2646655</v>
      </c>
      <c r="I18" s="65">
        <v>236180</v>
      </c>
      <c r="J18" s="65">
        <v>680150</v>
      </c>
      <c r="K18" s="65">
        <v>58236</v>
      </c>
      <c r="L18" s="90" t="s">
        <v>134</v>
      </c>
      <c r="M18" s="65">
        <f t="shared" si="1"/>
        <v>974566</v>
      </c>
      <c r="N18" s="65">
        <v>256215</v>
      </c>
      <c r="O18" s="65">
        <v>406980</v>
      </c>
      <c r="P18" s="65">
        <f t="shared" si="2"/>
        <v>663195</v>
      </c>
      <c r="Q18" s="65">
        <f t="shared" si="3"/>
        <v>4284416</v>
      </c>
      <c r="R18" s="49"/>
      <c r="S18" s="65"/>
    </row>
    <row r="19" spans="1:19" x14ac:dyDescent="0.2">
      <c r="A19" t="s">
        <v>147</v>
      </c>
      <c r="B19" s="65">
        <v>473220</v>
      </c>
      <c r="C19" s="65">
        <v>194880</v>
      </c>
      <c r="D19" s="65">
        <v>1383545</v>
      </c>
      <c r="E19" s="65">
        <v>24500</v>
      </c>
      <c r="F19" s="90" t="s">
        <v>134</v>
      </c>
      <c r="G19" s="87" t="s">
        <v>134</v>
      </c>
      <c r="H19" s="65">
        <f t="shared" si="0"/>
        <v>2076145</v>
      </c>
      <c r="I19" s="65">
        <v>233580</v>
      </c>
      <c r="J19" s="65">
        <v>550175</v>
      </c>
      <c r="K19" s="65">
        <v>56680</v>
      </c>
      <c r="L19" s="90" t="s">
        <v>134</v>
      </c>
      <c r="M19" s="65">
        <f t="shared" si="1"/>
        <v>840435</v>
      </c>
      <c r="N19" s="65">
        <v>176250</v>
      </c>
      <c r="O19" s="65">
        <v>299585</v>
      </c>
      <c r="P19" s="65">
        <f t="shared" si="2"/>
        <v>475835</v>
      </c>
      <c r="Q19" s="65">
        <f t="shared" si="3"/>
        <v>3392415</v>
      </c>
      <c r="R19" s="49"/>
      <c r="S19" s="65"/>
    </row>
    <row r="20" spans="1:19" x14ac:dyDescent="0.2">
      <c r="A20" t="s">
        <v>148</v>
      </c>
      <c r="B20" s="65">
        <v>446220</v>
      </c>
      <c r="C20" s="65">
        <v>207480</v>
      </c>
      <c r="D20" s="65">
        <v>1862630</v>
      </c>
      <c r="E20" s="65">
        <v>36250</v>
      </c>
      <c r="F20" s="90" t="s">
        <v>134</v>
      </c>
      <c r="G20" s="87" t="s">
        <v>134</v>
      </c>
      <c r="H20" s="65">
        <f t="shared" si="0"/>
        <v>2552580</v>
      </c>
      <c r="I20" s="65">
        <v>261000</v>
      </c>
      <c r="J20" s="65">
        <v>605570</v>
      </c>
      <c r="K20" s="65">
        <v>51660</v>
      </c>
      <c r="L20" s="90" t="s">
        <v>134</v>
      </c>
      <c r="M20" s="65">
        <f t="shared" si="1"/>
        <v>918230</v>
      </c>
      <c r="N20" s="65">
        <v>291180</v>
      </c>
      <c r="O20" s="65">
        <v>485465</v>
      </c>
      <c r="P20" s="65">
        <f t="shared" si="2"/>
        <v>776645</v>
      </c>
      <c r="Q20" s="65">
        <f t="shared" si="3"/>
        <v>4247455</v>
      </c>
      <c r="R20" s="49"/>
      <c r="S20" s="65"/>
    </row>
    <row r="21" spans="1:19" x14ac:dyDescent="0.2">
      <c r="A21" t="s">
        <v>149</v>
      </c>
      <c r="B21" s="65">
        <v>483360</v>
      </c>
      <c r="C21" s="65">
        <v>193590</v>
      </c>
      <c r="D21" s="65">
        <v>1414880</v>
      </c>
      <c r="E21" s="65">
        <v>30800</v>
      </c>
      <c r="F21" s="90" t="s">
        <v>134</v>
      </c>
      <c r="G21" s="87" t="s">
        <v>134</v>
      </c>
      <c r="H21" s="65">
        <f t="shared" si="0"/>
        <v>2122630</v>
      </c>
      <c r="I21" s="65">
        <v>201880</v>
      </c>
      <c r="J21" s="65">
        <v>540000</v>
      </c>
      <c r="K21" s="65">
        <v>43000</v>
      </c>
      <c r="L21" s="90" t="s">
        <v>134</v>
      </c>
      <c r="M21" s="65">
        <f t="shared" si="1"/>
        <v>784880</v>
      </c>
      <c r="N21" s="65">
        <v>206925</v>
      </c>
      <c r="O21" s="65">
        <v>347040</v>
      </c>
      <c r="P21" s="65">
        <f t="shared" si="2"/>
        <v>553965</v>
      </c>
      <c r="Q21" s="65">
        <f t="shared" si="3"/>
        <v>3461475</v>
      </c>
      <c r="R21" s="49"/>
      <c r="S21" s="65"/>
    </row>
    <row r="22" spans="1:19" x14ac:dyDescent="0.2">
      <c r="A22" t="s">
        <v>150</v>
      </c>
      <c r="B22" s="65">
        <v>449805</v>
      </c>
      <c r="C22" s="65">
        <v>236160</v>
      </c>
      <c r="D22" s="65">
        <v>1433770</v>
      </c>
      <c r="E22" s="65">
        <v>32550</v>
      </c>
      <c r="F22" s="90" t="s">
        <v>134</v>
      </c>
      <c r="G22" s="87" t="s">
        <v>134</v>
      </c>
      <c r="H22" s="65">
        <f t="shared" si="0"/>
        <v>2152285</v>
      </c>
      <c r="I22" s="65">
        <v>195210</v>
      </c>
      <c r="J22" s="65">
        <v>689000</v>
      </c>
      <c r="K22" s="65">
        <v>37950</v>
      </c>
      <c r="L22" s="90" t="s">
        <v>134</v>
      </c>
      <c r="M22" s="65">
        <f t="shared" si="1"/>
        <v>922160</v>
      </c>
      <c r="N22" s="65">
        <v>219260</v>
      </c>
      <c r="O22" s="65">
        <v>367500</v>
      </c>
      <c r="P22" s="65">
        <f t="shared" si="2"/>
        <v>586760</v>
      </c>
      <c r="Q22" s="65">
        <f t="shared" si="3"/>
        <v>3661205</v>
      </c>
      <c r="R22" s="49"/>
      <c r="S22" s="65"/>
    </row>
    <row r="23" spans="1:19" x14ac:dyDescent="0.2">
      <c r="A23" t="s">
        <v>151</v>
      </c>
      <c r="B23" s="65">
        <v>372490</v>
      </c>
      <c r="C23" s="65">
        <v>228060</v>
      </c>
      <c r="D23" s="65">
        <v>1333830</v>
      </c>
      <c r="E23" s="65">
        <v>30450</v>
      </c>
      <c r="F23" s="90" t="s">
        <v>134</v>
      </c>
      <c r="G23" s="87" t="s">
        <v>134</v>
      </c>
      <c r="H23" s="65">
        <f t="shared" si="0"/>
        <v>1964830</v>
      </c>
      <c r="I23" s="65">
        <v>184800</v>
      </c>
      <c r="J23" s="65">
        <v>822150</v>
      </c>
      <c r="K23" s="65">
        <v>46710</v>
      </c>
      <c r="L23" s="90" t="s">
        <v>134</v>
      </c>
      <c r="M23" s="65">
        <f t="shared" si="1"/>
        <v>1053660</v>
      </c>
      <c r="N23" s="65">
        <v>191250</v>
      </c>
      <c r="O23" s="65">
        <v>329640</v>
      </c>
      <c r="P23" s="65">
        <f t="shared" si="2"/>
        <v>520890</v>
      </c>
      <c r="Q23" s="65">
        <f t="shared" si="3"/>
        <v>3539380</v>
      </c>
      <c r="R23" s="49"/>
      <c r="S23" s="65"/>
    </row>
    <row r="24" spans="1:19" x14ac:dyDescent="0.2">
      <c r="A24" t="s">
        <v>152</v>
      </c>
      <c r="B24" s="65">
        <v>432415</v>
      </c>
      <c r="C24" s="65">
        <v>233100</v>
      </c>
      <c r="D24" s="65">
        <v>1511655</v>
      </c>
      <c r="E24" s="65">
        <v>28175</v>
      </c>
      <c r="F24" s="90" t="s">
        <v>134</v>
      </c>
      <c r="G24" s="87" t="s">
        <v>134</v>
      </c>
      <c r="H24" s="65">
        <f t="shared" si="0"/>
        <v>2205345</v>
      </c>
      <c r="I24" s="65">
        <v>159750</v>
      </c>
      <c r="J24" s="65">
        <v>917900</v>
      </c>
      <c r="K24" s="65">
        <v>62040</v>
      </c>
      <c r="L24" s="90" t="s">
        <v>134</v>
      </c>
      <c r="M24" s="65">
        <f t="shared" si="1"/>
        <v>1139690</v>
      </c>
      <c r="N24" s="65">
        <v>221250</v>
      </c>
      <c r="O24" s="65">
        <v>397155</v>
      </c>
      <c r="P24" s="65">
        <f t="shared" si="2"/>
        <v>618405</v>
      </c>
      <c r="Q24" s="65">
        <f t="shared" si="3"/>
        <v>3963440</v>
      </c>
      <c r="R24" s="49"/>
      <c r="S24" s="65"/>
    </row>
    <row r="25" spans="1:19" x14ac:dyDescent="0.2">
      <c r="A25" t="s">
        <v>153</v>
      </c>
      <c r="B25" s="65">
        <v>448050</v>
      </c>
      <c r="C25" s="65">
        <v>260380</v>
      </c>
      <c r="D25" s="65">
        <v>1400800</v>
      </c>
      <c r="E25" s="65">
        <v>25300</v>
      </c>
      <c r="F25" s="90" t="s">
        <v>134</v>
      </c>
      <c r="G25" s="87" t="s">
        <v>134</v>
      </c>
      <c r="H25" s="65">
        <f t="shared" si="0"/>
        <v>2134530</v>
      </c>
      <c r="I25" s="65">
        <v>189600</v>
      </c>
      <c r="J25" s="65">
        <v>926800</v>
      </c>
      <c r="K25" s="65">
        <v>61600</v>
      </c>
      <c r="L25" s="90" t="s">
        <v>134</v>
      </c>
      <c r="M25" s="65">
        <f t="shared" si="1"/>
        <v>1178000</v>
      </c>
      <c r="N25" s="65">
        <v>218120</v>
      </c>
      <c r="O25" s="65">
        <v>298840</v>
      </c>
      <c r="P25" s="65">
        <f t="shared" si="2"/>
        <v>516960</v>
      </c>
      <c r="Q25" s="65">
        <f t="shared" si="3"/>
        <v>3829490</v>
      </c>
      <c r="R25" s="49"/>
      <c r="S25" s="65"/>
    </row>
    <row r="26" spans="1:19" x14ac:dyDescent="0.2">
      <c r="A26" s="1">
        <v>2000</v>
      </c>
      <c r="B26" s="65">
        <v>271180</v>
      </c>
      <c r="C26" s="65">
        <v>213710</v>
      </c>
      <c r="D26" s="65">
        <v>1328400</v>
      </c>
      <c r="E26" s="65">
        <v>29500</v>
      </c>
      <c r="F26" s="90" t="s">
        <v>134</v>
      </c>
      <c r="G26" s="87" t="s">
        <v>134</v>
      </c>
      <c r="H26" s="65">
        <f t="shared" si="0"/>
        <v>1842790</v>
      </c>
      <c r="I26" s="65">
        <v>120600</v>
      </c>
      <c r="J26" s="65">
        <v>698500</v>
      </c>
      <c r="K26" s="65">
        <v>54990</v>
      </c>
      <c r="L26" s="90" t="s">
        <v>134</v>
      </c>
      <c r="M26" s="65">
        <f t="shared" si="1"/>
        <v>874090</v>
      </c>
      <c r="N26" s="65">
        <v>210375</v>
      </c>
      <c r="O26" s="65">
        <v>338250</v>
      </c>
      <c r="P26" s="65">
        <f t="shared" si="2"/>
        <v>548625</v>
      </c>
      <c r="Q26" s="65">
        <f t="shared" si="3"/>
        <v>3265505</v>
      </c>
      <c r="R26" s="49"/>
      <c r="S26" s="65"/>
    </row>
    <row r="27" spans="1:19" x14ac:dyDescent="0.2">
      <c r="A27" s="1">
        <v>2001</v>
      </c>
      <c r="B27" s="65">
        <v>532325</v>
      </c>
      <c r="C27" s="65">
        <v>250100</v>
      </c>
      <c r="D27" s="65">
        <v>1711620</v>
      </c>
      <c r="E27" s="65">
        <v>30600</v>
      </c>
      <c r="F27" s="90" t="s">
        <v>134</v>
      </c>
      <c r="G27" s="87" t="s">
        <v>134</v>
      </c>
      <c r="H27" s="65">
        <f t="shared" si="0"/>
        <v>2524645</v>
      </c>
      <c r="I27" s="65">
        <v>197890</v>
      </c>
      <c r="J27" s="65">
        <v>895900</v>
      </c>
      <c r="K27" s="65">
        <v>67044</v>
      </c>
      <c r="L27" s="90" t="s">
        <v>134</v>
      </c>
      <c r="M27" s="65">
        <f t="shared" si="1"/>
        <v>1160834</v>
      </c>
      <c r="N27" s="65">
        <v>234750</v>
      </c>
      <c r="O27" s="65">
        <v>356475</v>
      </c>
      <c r="P27" s="65">
        <f t="shared" si="2"/>
        <v>591225</v>
      </c>
      <c r="Q27" s="65">
        <f t="shared" si="3"/>
        <v>4276704</v>
      </c>
      <c r="R27" s="49"/>
      <c r="S27" s="65"/>
    </row>
    <row r="28" spans="1:19" x14ac:dyDescent="0.2">
      <c r="A28" s="1">
        <v>2002</v>
      </c>
      <c r="B28" s="65">
        <v>379800</v>
      </c>
      <c r="C28" s="65">
        <v>197800</v>
      </c>
      <c r="D28" s="65">
        <v>1313000</v>
      </c>
      <c r="E28" s="65">
        <v>19140</v>
      </c>
      <c r="F28" s="90" t="s">
        <v>134</v>
      </c>
      <c r="G28" s="87" t="s">
        <v>134</v>
      </c>
      <c r="H28" s="65">
        <f t="shared" si="0"/>
        <v>1909740</v>
      </c>
      <c r="I28" s="65">
        <v>159600</v>
      </c>
      <c r="J28" s="65">
        <v>868000</v>
      </c>
      <c r="K28" s="65">
        <v>54000</v>
      </c>
      <c r="L28" s="90" t="s">
        <v>134</v>
      </c>
      <c r="M28" s="65">
        <f t="shared" si="1"/>
        <v>1081600</v>
      </c>
      <c r="N28" s="65">
        <v>119700</v>
      </c>
      <c r="O28" s="65">
        <v>210000</v>
      </c>
      <c r="P28" s="65">
        <f t="shared" si="2"/>
        <v>329700</v>
      </c>
      <c r="Q28" s="65">
        <f t="shared" si="3"/>
        <v>3321040</v>
      </c>
      <c r="R28" s="49"/>
      <c r="S28" s="65"/>
    </row>
    <row r="29" spans="1:19" x14ac:dyDescent="0.2">
      <c r="A29" s="1">
        <v>2003</v>
      </c>
      <c r="B29" s="65">
        <v>508750</v>
      </c>
      <c r="C29" s="65">
        <v>345000</v>
      </c>
      <c r="D29" s="65">
        <v>1863000</v>
      </c>
      <c r="E29" s="65">
        <v>57800</v>
      </c>
      <c r="F29" s="90" t="s">
        <v>134</v>
      </c>
      <c r="G29" s="87" t="s">
        <v>134</v>
      </c>
      <c r="H29" s="65">
        <f t="shared" si="0"/>
        <v>2774550</v>
      </c>
      <c r="I29" s="65">
        <v>98000</v>
      </c>
      <c r="J29" s="65">
        <v>810000</v>
      </c>
      <c r="K29" s="65">
        <v>45900</v>
      </c>
      <c r="L29" s="90" t="s">
        <v>134</v>
      </c>
      <c r="M29" s="65">
        <f t="shared" si="1"/>
        <v>953900</v>
      </c>
      <c r="N29" s="65">
        <v>95700</v>
      </c>
      <c r="O29" s="65">
        <v>320000</v>
      </c>
      <c r="P29" s="65">
        <f t="shared" si="2"/>
        <v>415700</v>
      </c>
      <c r="Q29" s="65">
        <f t="shared" si="3"/>
        <v>4144150</v>
      </c>
      <c r="R29" s="49"/>
      <c r="S29" s="65"/>
    </row>
    <row r="30" spans="1:19" x14ac:dyDescent="0.2">
      <c r="A30" s="1">
        <v>2004</v>
      </c>
      <c r="B30" s="65">
        <v>557200</v>
      </c>
      <c r="C30" s="65">
        <v>364000</v>
      </c>
      <c r="D30" s="65">
        <v>1817800</v>
      </c>
      <c r="E30" s="65">
        <v>112200</v>
      </c>
      <c r="F30" s="90" t="s">
        <v>134</v>
      </c>
      <c r="G30" s="87" t="s">
        <v>134</v>
      </c>
      <c r="H30" s="65">
        <f t="shared" si="0"/>
        <v>2851200</v>
      </c>
      <c r="I30" s="65">
        <v>102300</v>
      </c>
      <c r="J30" s="65">
        <v>803700</v>
      </c>
      <c r="K30" s="65">
        <v>59500</v>
      </c>
      <c r="L30" s="90" t="s">
        <v>134</v>
      </c>
      <c r="M30" s="65">
        <f t="shared" si="1"/>
        <v>965500</v>
      </c>
      <c r="N30" s="65">
        <v>104000</v>
      </c>
      <c r="O30" s="65">
        <v>367500</v>
      </c>
      <c r="P30" s="65">
        <f t="shared" si="2"/>
        <v>471500</v>
      </c>
      <c r="Q30" s="65">
        <f t="shared" si="3"/>
        <v>4288200</v>
      </c>
      <c r="R30" s="49"/>
      <c r="S30" s="65"/>
    </row>
    <row r="31" spans="1:19" x14ac:dyDescent="0.2">
      <c r="A31" s="1">
        <v>2005</v>
      </c>
      <c r="B31" s="65">
        <v>613250</v>
      </c>
      <c r="C31" s="65">
        <v>410400</v>
      </c>
      <c r="D31" s="65">
        <v>2130000</v>
      </c>
      <c r="E31" s="65">
        <v>168000</v>
      </c>
      <c r="F31" s="65">
        <v>44800</v>
      </c>
      <c r="G31" s="87" t="s">
        <v>134</v>
      </c>
      <c r="H31" s="65">
        <f t="shared" si="0"/>
        <v>3366450</v>
      </c>
      <c r="I31" s="65">
        <v>107910</v>
      </c>
      <c r="J31" s="65">
        <v>975000</v>
      </c>
      <c r="K31" s="65">
        <v>66500</v>
      </c>
      <c r="L31" s="90" t="s">
        <v>134</v>
      </c>
      <c r="M31" s="65">
        <f t="shared" si="1"/>
        <v>1149410</v>
      </c>
      <c r="N31" s="65">
        <v>66000</v>
      </c>
      <c r="O31" s="65">
        <v>288000</v>
      </c>
      <c r="P31" s="65">
        <f t="shared" si="2"/>
        <v>354000</v>
      </c>
      <c r="Q31" s="65">
        <f t="shared" si="3"/>
        <v>4869860</v>
      </c>
      <c r="R31" s="49"/>
      <c r="S31" s="65"/>
    </row>
    <row r="32" spans="1:19" x14ac:dyDescent="0.2">
      <c r="A32" s="1">
        <v>2006</v>
      </c>
      <c r="B32" s="65">
        <v>407500</v>
      </c>
      <c r="C32" s="65">
        <v>300000</v>
      </c>
      <c r="D32" s="65">
        <v>1598500</v>
      </c>
      <c r="E32" s="65">
        <v>168000</v>
      </c>
      <c r="F32" s="65">
        <v>46400</v>
      </c>
      <c r="G32" s="87" t="s">
        <v>134</v>
      </c>
      <c r="H32" s="65">
        <f t="shared" si="0"/>
        <v>2520400</v>
      </c>
      <c r="I32" s="65">
        <v>62700</v>
      </c>
      <c r="J32" s="65">
        <v>514750</v>
      </c>
      <c r="K32" s="65">
        <v>43200</v>
      </c>
      <c r="L32" s="90" t="s">
        <v>134</v>
      </c>
      <c r="M32" s="65">
        <f t="shared" si="1"/>
        <v>620650</v>
      </c>
      <c r="N32" s="65">
        <v>54400</v>
      </c>
      <c r="O32" s="65">
        <v>268800</v>
      </c>
      <c r="P32" s="65">
        <f t="shared" si="2"/>
        <v>323200</v>
      </c>
      <c r="Q32" s="65">
        <f t="shared" si="3"/>
        <v>3464250</v>
      </c>
      <c r="R32" s="49"/>
      <c r="S32" s="65"/>
    </row>
    <row r="33" spans="1:46" x14ac:dyDescent="0.2">
      <c r="A33" s="1">
        <v>2007</v>
      </c>
      <c r="B33" s="65">
        <v>400350</v>
      </c>
      <c r="C33" s="65">
        <v>321300</v>
      </c>
      <c r="D33" s="65">
        <v>1622400</v>
      </c>
      <c r="E33" s="65">
        <v>173600</v>
      </c>
      <c r="F33" s="65">
        <v>59400</v>
      </c>
      <c r="G33" s="87" t="s">
        <v>134</v>
      </c>
      <c r="H33" s="65">
        <f t="shared" si="0"/>
        <v>2577050</v>
      </c>
      <c r="I33" s="65">
        <v>57800</v>
      </c>
      <c r="J33" s="65">
        <v>691900</v>
      </c>
      <c r="K33" s="65">
        <v>32000</v>
      </c>
      <c r="L33" s="90" t="s">
        <v>134</v>
      </c>
      <c r="M33" s="65">
        <f t="shared" si="1"/>
        <v>781700</v>
      </c>
      <c r="N33" s="65">
        <v>52500</v>
      </c>
      <c r="O33" s="65">
        <v>261000</v>
      </c>
      <c r="P33" s="65">
        <f t="shared" si="2"/>
        <v>313500</v>
      </c>
      <c r="Q33" s="65">
        <f t="shared" si="3"/>
        <v>3672250</v>
      </c>
      <c r="R33" s="49"/>
      <c r="S33" s="65"/>
    </row>
    <row r="34" spans="1:46" x14ac:dyDescent="0.2">
      <c r="A34" s="1">
        <v>2008</v>
      </c>
      <c r="B34" s="65">
        <v>675500</v>
      </c>
      <c r="C34" s="65">
        <v>448000</v>
      </c>
      <c r="D34" s="65">
        <v>2329000</v>
      </c>
      <c r="E34" s="65">
        <v>265200</v>
      </c>
      <c r="F34" s="65">
        <v>81900</v>
      </c>
      <c r="G34" s="87" t="s">
        <v>134</v>
      </c>
      <c r="H34" s="65">
        <f t="shared" si="0"/>
        <v>3799600</v>
      </c>
      <c r="I34" s="65">
        <v>63000</v>
      </c>
      <c r="J34" s="65">
        <v>834900</v>
      </c>
      <c r="K34" s="65">
        <v>25600</v>
      </c>
      <c r="L34" s="90" t="s">
        <v>134</v>
      </c>
      <c r="M34" s="65">
        <f t="shared" si="1"/>
        <v>923500</v>
      </c>
      <c r="N34" s="65">
        <v>80400</v>
      </c>
      <c r="O34" s="65">
        <v>358900</v>
      </c>
      <c r="P34" s="65">
        <f t="shared" si="2"/>
        <v>439300</v>
      </c>
      <c r="Q34" s="65">
        <f t="shared" si="3"/>
        <v>5162400</v>
      </c>
      <c r="R34" s="49"/>
      <c r="S34" s="65"/>
    </row>
    <row r="35" spans="1:46" x14ac:dyDescent="0.2">
      <c r="A35" s="1">
        <v>2009</v>
      </c>
      <c r="B35" s="65">
        <v>495000</v>
      </c>
      <c r="C35" s="65">
        <v>336000</v>
      </c>
      <c r="D35" s="65">
        <v>1797800</v>
      </c>
      <c r="E35" s="65">
        <v>148800</v>
      </c>
      <c r="F35" s="65">
        <v>54000</v>
      </c>
      <c r="G35" s="87" t="s">
        <v>134</v>
      </c>
      <c r="H35" s="65">
        <f t="shared" si="0"/>
        <v>2831600</v>
      </c>
      <c r="I35" s="65">
        <v>42900</v>
      </c>
      <c r="J35" s="65">
        <v>506850</v>
      </c>
      <c r="K35" s="65">
        <v>21700</v>
      </c>
      <c r="L35" s="90" t="s">
        <v>134</v>
      </c>
      <c r="M35" s="65">
        <f t="shared" si="1"/>
        <v>571450</v>
      </c>
      <c r="N35" s="65">
        <v>44400</v>
      </c>
      <c r="O35" s="65">
        <v>244200</v>
      </c>
      <c r="P35" s="65">
        <f t="shared" si="2"/>
        <v>288600</v>
      </c>
      <c r="Q35" s="65">
        <f t="shared" si="3"/>
        <v>3691650</v>
      </c>
      <c r="R35" s="49"/>
      <c r="S35" s="65"/>
    </row>
    <row r="36" spans="1:46" x14ac:dyDescent="0.2">
      <c r="A36" s="1">
        <v>2010</v>
      </c>
      <c r="B36" s="65">
        <v>481000</v>
      </c>
      <c r="C36" s="65">
        <v>472500</v>
      </c>
      <c r="D36" s="65">
        <v>1959150</v>
      </c>
      <c r="E36" s="65">
        <v>224000</v>
      </c>
      <c r="F36" s="65">
        <v>63000</v>
      </c>
      <c r="G36" s="87" t="s">
        <v>134</v>
      </c>
      <c r="H36" s="65">
        <f t="shared" si="0"/>
        <v>3199650</v>
      </c>
      <c r="I36" s="65">
        <v>70350</v>
      </c>
      <c r="J36" s="65">
        <v>586800</v>
      </c>
      <c r="K36" s="65">
        <v>34000</v>
      </c>
      <c r="L36" s="90" t="s">
        <v>134</v>
      </c>
      <c r="M36" s="65">
        <f t="shared" si="1"/>
        <v>691150</v>
      </c>
      <c r="N36" s="65">
        <v>33840</v>
      </c>
      <c r="O36" s="65">
        <v>232200</v>
      </c>
      <c r="P36" s="65">
        <f t="shared" si="2"/>
        <v>266040</v>
      </c>
      <c r="Q36" s="65">
        <f t="shared" si="3"/>
        <v>4156840</v>
      </c>
      <c r="R36" s="49"/>
      <c r="S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</row>
    <row r="37" spans="1:46" x14ac:dyDescent="0.2">
      <c r="A37" s="1">
        <v>2011</v>
      </c>
      <c r="B37" s="65">
        <v>489700</v>
      </c>
      <c r="C37" s="65">
        <v>549500</v>
      </c>
      <c r="D37" s="65">
        <v>1645750</v>
      </c>
      <c r="E37" s="65">
        <v>240900</v>
      </c>
      <c r="F37" s="65">
        <v>56000</v>
      </c>
      <c r="G37" s="87" t="s">
        <v>134</v>
      </c>
      <c r="H37" s="65">
        <f t="shared" si="0"/>
        <v>2981850</v>
      </c>
      <c r="I37" s="65">
        <v>54600</v>
      </c>
      <c r="J37" s="65">
        <v>249240</v>
      </c>
      <c r="K37" s="65">
        <v>19800</v>
      </c>
      <c r="L37" s="90" t="s">
        <v>134</v>
      </c>
      <c r="M37" s="65">
        <f t="shared" si="1"/>
        <v>323640</v>
      </c>
      <c r="N37" s="65">
        <v>61500</v>
      </c>
      <c r="O37" s="65">
        <v>291600</v>
      </c>
      <c r="P37" s="65">
        <f t="shared" si="2"/>
        <v>353100</v>
      </c>
      <c r="Q37" s="65">
        <f t="shared" si="3"/>
        <v>3658590</v>
      </c>
      <c r="R37" s="49"/>
      <c r="S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</row>
    <row r="38" spans="1:46" x14ac:dyDescent="0.2">
      <c r="A38" s="1">
        <v>2012</v>
      </c>
      <c r="B38" s="65">
        <v>876000</v>
      </c>
      <c r="C38" s="65">
        <v>760500</v>
      </c>
      <c r="D38" s="65">
        <v>3343400</v>
      </c>
      <c r="E38" s="65">
        <v>417300</v>
      </c>
      <c r="F38" s="65">
        <v>215600</v>
      </c>
      <c r="G38" s="87" t="s">
        <v>134</v>
      </c>
      <c r="H38" s="65">
        <f t="shared" si="0"/>
        <v>5612800</v>
      </c>
      <c r="I38" s="65">
        <v>80300</v>
      </c>
      <c r="J38" s="65">
        <v>525600</v>
      </c>
      <c r="K38" s="65">
        <v>26000</v>
      </c>
      <c r="L38" s="90" t="s">
        <v>134</v>
      </c>
      <c r="M38" s="65">
        <f t="shared" si="1"/>
        <v>631900</v>
      </c>
      <c r="N38" s="65">
        <v>82000</v>
      </c>
      <c r="O38" s="65">
        <v>427180</v>
      </c>
      <c r="P38" s="65">
        <f t="shared" si="2"/>
        <v>509180</v>
      </c>
      <c r="Q38" s="65">
        <f t="shared" si="3"/>
        <v>6753880</v>
      </c>
      <c r="R38" s="49"/>
      <c r="S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</row>
    <row r="39" spans="1:46" x14ac:dyDescent="0.2">
      <c r="A39" s="1">
        <v>2013</v>
      </c>
      <c r="B39" s="65">
        <v>489900</v>
      </c>
      <c r="C39" s="65">
        <v>517450</v>
      </c>
      <c r="D39" s="65">
        <v>1887180</v>
      </c>
      <c r="E39" s="65">
        <v>273000</v>
      </c>
      <c r="F39" s="65">
        <v>122100</v>
      </c>
      <c r="G39" s="87" t="s">
        <v>134</v>
      </c>
      <c r="H39" s="65">
        <f t="shared" si="0"/>
        <v>3289630</v>
      </c>
      <c r="I39" s="65">
        <v>59200</v>
      </c>
      <c r="J39" s="65">
        <v>423540</v>
      </c>
      <c r="K39" s="65">
        <v>21700</v>
      </c>
      <c r="L39" s="90" t="s">
        <v>134</v>
      </c>
      <c r="M39" s="65">
        <f t="shared" si="1"/>
        <v>504440</v>
      </c>
      <c r="N39" s="65">
        <v>63200</v>
      </c>
      <c r="O39" s="65">
        <v>315900</v>
      </c>
      <c r="P39" s="65">
        <f t="shared" si="2"/>
        <v>379100</v>
      </c>
      <c r="Q39" s="65">
        <f t="shared" si="3"/>
        <v>4173170</v>
      </c>
      <c r="R39" s="49"/>
      <c r="S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</row>
    <row r="40" spans="1:46" x14ac:dyDescent="0.2">
      <c r="A40" s="1">
        <v>2014</v>
      </c>
      <c r="B40" s="65">
        <v>544950</v>
      </c>
      <c r="C40" s="65">
        <v>668000</v>
      </c>
      <c r="D40" s="65">
        <v>2435515</v>
      </c>
      <c r="E40" s="65">
        <v>410400</v>
      </c>
      <c r="F40" s="65">
        <v>124000</v>
      </c>
      <c r="G40" s="87" t="s">
        <v>134</v>
      </c>
      <c r="H40" s="65">
        <f t="shared" si="0"/>
        <v>4182865</v>
      </c>
      <c r="I40" s="65">
        <v>44000</v>
      </c>
      <c r="J40" s="65">
        <v>459740</v>
      </c>
      <c r="K40" s="65">
        <v>15750</v>
      </c>
      <c r="L40" s="90" t="s">
        <v>134</v>
      </c>
      <c r="M40" s="65">
        <f t="shared" si="1"/>
        <v>519490</v>
      </c>
      <c r="N40" s="65">
        <v>84550</v>
      </c>
      <c r="O40" s="65">
        <v>401760</v>
      </c>
      <c r="P40" s="65">
        <f t="shared" si="2"/>
        <v>486310</v>
      </c>
      <c r="Q40" s="65">
        <f t="shared" si="3"/>
        <v>5188665</v>
      </c>
      <c r="R40" s="49"/>
      <c r="S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</row>
    <row r="41" spans="1:46" x14ac:dyDescent="0.2">
      <c r="A41" s="1">
        <v>2015</v>
      </c>
      <c r="B41" s="65">
        <v>637000</v>
      </c>
      <c r="C41" s="65">
        <v>648000</v>
      </c>
      <c r="D41" s="65">
        <v>3364410</v>
      </c>
      <c r="E41" s="65">
        <v>262400</v>
      </c>
      <c r="F41" s="65">
        <v>143500</v>
      </c>
      <c r="G41" s="87" t="s">
        <v>134</v>
      </c>
      <c r="H41" s="65">
        <f t="shared" si="0"/>
        <v>5055310</v>
      </c>
      <c r="I41" s="65">
        <v>30600</v>
      </c>
      <c r="J41" s="65">
        <v>528000</v>
      </c>
      <c r="K41" s="65">
        <v>15337</v>
      </c>
      <c r="L41" s="90" t="s">
        <v>134</v>
      </c>
      <c r="M41" s="65">
        <f t="shared" si="1"/>
        <v>573937</v>
      </c>
      <c r="N41" s="65">
        <v>69350</v>
      </c>
      <c r="O41" s="65">
        <v>302760</v>
      </c>
      <c r="P41" s="65">
        <f t="shared" si="2"/>
        <v>372110</v>
      </c>
      <c r="Q41" s="65">
        <f t="shared" si="3"/>
        <v>6001357</v>
      </c>
      <c r="R41" s="49"/>
      <c r="S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</row>
    <row r="42" spans="1:46" x14ac:dyDescent="0.2">
      <c r="A42" s="1">
        <v>2016</v>
      </c>
      <c r="B42" s="65">
        <v>619200</v>
      </c>
      <c r="C42" s="65">
        <v>554800</v>
      </c>
      <c r="D42" s="65">
        <v>2753400</v>
      </c>
      <c r="E42" s="65">
        <v>339200</v>
      </c>
      <c r="F42" s="65">
        <v>152000</v>
      </c>
      <c r="G42" s="87" t="s">
        <v>134</v>
      </c>
      <c r="H42" s="65">
        <f t="shared" si="0"/>
        <v>4418600</v>
      </c>
      <c r="I42" s="65">
        <v>44400</v>
      </c>
      <c r="J42" s="65">
        <v>559650</v>
      </c>
      <c r="K42" s="65">
        <v>22400</v>
      </c>
      <c r="L42" s="65">
        <v>110400</v>
      </c>
      <c r="M42" s="65">
        <f t="shared" si="1"/>
        <v>736850</v>
      </c>
      <c r="N42" s="65">
        <v>76650</v>
      </c>
      <c r="O42" s="65">
        <v>349470</v>
      </c>
      <c r="P42" s="65">
        <f t="shared" si="2"/>
        <v>426120</v>
      </c>
      <c r="Q42" s="65">
        <f t="shared" si="3"/>
        <v>5581570</v>
      </c>
      <c r="R42" s="49"/>
      <c r="S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</row>
    <row r="43" spans="1:46" x14ac:dyDescent="0.2">
      <c r="A43" s="1">
        <v>2017</v>
      </c>
      <c r="B43" s="65">
        <v>704450</v>
      </c>
      <c r="C43" s="65">
        <v>638250</v>
      </c>
      <c r="D43" s="65">
        <v>3572250</v>
      </c>
      <c r="E43" s="65">
        <v>472000</v>
      </c>
      <c r="F43" s="65">
        <v>172000</v>
      </c>
      <c r="G43" s="87" t="s">
        <v>134</v>
      </c>
      <c r="H43" s="65">
        <f t="shared" si="0"/>
        <v>5558950</v>
      </c>
      <c r="I43" s="65">
        <v>79380</v>
      </c>
      <c r="J43" s="65">
        <v>697200</v>
      </c>
      <c r="K43" s="65">
        <v>26600</v>
      </c>
      <c r="L43" s="65">
        <v>153700</v>
      </c>
      <c r="M43" s="65">
        <f t="shared" si="1"/>
        <v>956880</v>
      </c>
      <c r="N43" s="65">
        <v>119880</v>
      </c>
      <c r="O43" s="65">
        <v>479700</v>
      </c>
      <c r="P43" s="65">
        <v>599580</v>
      </c>
      <c r="Q43" s="65">
        <f t="shared" si="3"/>
        <v>7115410</v>
      </c>
      <c r="R43" s="49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</row>
    <row r="44" spans="1:46" x14ac:dyDescent="0.2">
      <c r="A44" s="1">
        <v>2018</v>
      </c>
      <c r="B44" s="65">
        <v>566720</v>
      </c>
      <c r="C44" s="65">
        <v>566280</v>
      </c>
      <c r="D44" s="65">
        <v>2875450</v>
      </c>
      <c r="E44" s="65">
        <v>272000</v>
      </c>
      <c r="F44" s="65">
        <v>92000</v>
      </c>
      <c r="G44" s="87" t="s">
        <v>134</v>
      </c>
      <c r="H44" s="65">
        <f t="shared" si="0"/>
        <v>4372450</v>
      </c>
      <c r="I44" s="65">
        <v>46060</v>
      </c>
      <c r="J44" s="65">
        <v>464340</v>
      </c>
      <c r="K44" s="65">
        <v>15960</v>
      </c>
      <c r="L44" s="65">
        <v>112700</v>
      </c>
      <c r="M44" s="65">
        <f t="shared" si="1"/>
        <v>639060</v>
      </c>
      <c r="N44" s="65">
        <v>100800</v>
      </c>
      <c r="O44" s="65">
        <v>379260</v>
      </c>
      <c r="P44" s="65">
        <v>480060</v>
      </c>
      <c r="Q44" s="65">
        <f t="shared" si="3"/>
        <v>5491570</v>
      </c>
      <c r="R44" s="49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</row>
    <row r="45" spans="1:46" x14ac:dyDescent="0.2">
      <c r="A45" s="1">
        <v>2019</v>
      </c>
      <c r="B45" s="65">
        <v>522600</v>
      </c>
      <c r="C45" s="65">
        <v>589000</v>
      </c>
      <c r="D45" s="65">
        <v>2752200</v>
      </c>
      <c r="E45" s="65">
        <v>235600</v>
      </c>
      <c r="F45" s="65">
        <v>76000</v>
      </c>
      <c r="G45" s="87" t="s">
        <v>134</v>
      </c>
      <c r="H45" s="65">
        <f t="shared" si="0"/>
        <v>4175400</v>
      </c>
      <c r="I45" s="65">
        <v>56000</v>
      </c>
      <c r="J45" s="65">
        <v>486700</v>
      </c>
      <c r="K45" s="65">
        <v>14740</v>
      </c>
      <c r="L45" s="65">
        <v>171600</v>
      </c>
      <c r="M45" s="65">
        <f t="shared" si="1"/>
        <v>729040</v>
      </c>
      <c r="N45" s="65">
        <v>111600</v>
      </c>
      <c r="O45" s="65">
        <v>448800</v>
      </c>
      <c r="P45" s="65">
        <v>560400</v>
      </c>
      <c r="Q45" s="65">
        <f t="shared" si="3"/>
        <v>5464840</v>
      </c>
      <c r="R45" s="49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</row>
    <row r="46" spans="1:46" x14ac:dyDescent="0.2">
      <c r="A46" s="1">
        <v>2020</v>
      </c>
      <c r="B46" s="65">
        <v>622200</v>
      </c>
      <c r="C46" s="65">
        <v>564160</v>
      </c>
      <c r="D46" s="65">
        <v>3316600</v>
      </c>
      <c r="E46" s="65">
        <v>296000</v>
      </c>
      <c r="F46" s="65">
        <v>96800</v>
      </c>
      <c r="G46" s="87" t="s">
        <v>134</v>
      </c>
      <c r="H46" s="65">
        <f t="shared" si="0"/>
        <v>4895760</v>
      </c>
      <c r="I46" s="65">
        <v>59080</v>
      </c>
      <c r="J46" s="65">
        <v>488880</v>
      </c>
      <c r="K46" s="65">
        <v>15080</v>
      </c>
      <c r="L46" s="65">
        <v>182400</v>
      </c>
      <c r="M46" s="65">
        <f t="shared" si="1"/>
        <v>745440</v>
      </c>
      <c r="N46" s="65">
        <v>112050</v>
      </c>
      <c r="O46" s="65">
        <v>409500</v>
      </c>
      <c r="P46" s="65">
        <v>521550</v>
      </c>
      <c r="Q46" s="65">
        <f t="shared" si="3"/>
        <v>6162750</v>
      </c>
      <c r="R46" s="49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</row>
    <row r="47" spans="1:46" x14ac:dyDescent="0.2">
      <c r="A47" s="1">
        <v>2021</v>
      </c>
      <c r="B47" s="65">
        <v>609700</v>
      </c>
      <c r="C47" s="65">
        <v>585120</v>
      </c>
      <c r="D47" s="65">
        <v>3337500</v>
      </c>
      <c r="E47" s="65">
        <v>277200</v>
      </c>
      <c r="F47" s="65">
        <v>69700</v>
      </c>
      <c r="G47" s="87" t="s">
        <v>134</v>
      </c>
      <c r="H47" s="65">
        <f t="shared" si="0"/>
        <v>4879220</v>
      </c>
      <c r="I47" s="65">
        <v>66750</v>
      </c>
      <c r="J47" s="65">
        <v>575580</v>
      </c>
      <c r="K47" s="65">
        <v>25740</v>
      </c>
      <c r="L47" s="65">
        <v>175000</v>
      </c>
      <c r="M47" s="65">
        <f t="shared" si="1"/>
        <v>843070</v>
      </c>
      <c r="N47" s="65">
        <v>141000</v>
      </c>
      <c r="O47" s="65">
        <v>495900</v>
      </c>
      <c r="P47" s="65">
        <v>636900</v>
      </c>
      <c r="Q47" s="65">
        <f t="shared" si="3"/>
        <v>6359190</v>
      </c>
      <c r="R47" s="49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</row>
    <row r="48" spans="1:46" x14ac:dyDescent="0.2">
      <c r="A48" s="1">
        <v>2022</v>
      </c>
      <c r="B48" s="65">
        <v>554200</v>
      </c>
      <c r="C48" s="65">
        <v>574560</v>
      </c>
      <c r="D48" s="65">
        <v>2862800</v>
      </c>
      <c r="E48" s="65">
        <v>282200</v>
      </c>
      <c r="F48" s="65">
        <v>63000</v>
      </c>
      <c r="G48" s="87" t="s">
        <v>134</v>
      </c>
      <c r="H48" s="65">
        <f t="shared" si="0"/>
        <v>4336760</v>
      </c>
      <c r="I48" s="65">
        <v>63240</v>
      </c>
      <c r="J48" s="65">
        <v>327180</v>
      </c>
      <c r="K48" s="65">
        <v>15552</v>
      </c>
      <c r="L48" s="65">
        <v>166400</v>
      </c>
      <c r="M48" s="65">
        <f t="shared" si="1"/>
        <v>572372</v>
      </c>
      <c r="N48" s="65">
        <v>125720</v>
      </c>
      <c r="O48" s="65">
        <v>506920</v>
      </c>
      <c r="P48" s="65">
        <v>632640</v>
      </c>
      <c r="Q48" s="65">
        <f t="shared" si="3"/>
        <v>5541772</v>
      </c>
      <c r="R48" s="49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</row>
    <row r="49" spans="1:46" x14ac:dyDescent="0.2">
      <c r="A49" s="1">
        <v>2023</v>
      </c>
      <c r="B49" s="65">
        <v>471960</v>
      </c>
      <c r="C49" s="65">
        <v>522880</v>
      </c>
      <c r="D49" s="65">
        <v>3137520</v>
      </c>
      <c r="E49" s="65">
        <v>299700</v>
      </c>
      <c r="F49" s="65">
        <v>57600</v>
      </c>
      <c r="G49" s="87" t="s">
        <v>134</v>
      </c>
      <c r="H49" s="65">
        <f t="shared" si="0"/>
        <v>4489660</v>
      </c>
      <c r="I49" s="65">
        <v>58200</v>
      </c>
      <c r="J49" s="65">
        <v>458700</v>
      </c>
      <c r="K49" s="65">
        <v>18000</v>
      </c>
      <c r="L49" s="65">
        <v>197200</v>
      </c>
      <c r="M49" s="65">
        <f t="shared" si="1"/>
        <v>732100</v>
      </c>
      <c r="N49" s="65">
        <v>139200</v>
      </c>
      <c r="O49" s="65">
        <v>516600</v>
      </c>
      <c r="P49" s="65">
        <v>655800</v>
      </c>
      <c r="Q49" s="65">
        <f t="shared" si="3"/>
        <v>5877560</v>
      </c>
      <c r="R49" s="49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</row>
    <row r="50" spans="1:46" x14ac:dyDescent="0.2">
      <c r="A50" s="1">
        <v>2024</v>
      </c>
      <c r="B50" s="65">
        <v>564000</v>
      </c>
      <c r="C50" s="65">
        <v>549500</v>
      </c>
      <c r="D50" s="65">
        <v>3211000</v>
      </c>
      <c r="E50" s="65">
        <v>300200</v>
      </c>
      <c r="F50" s="65">
        <v>92500</v>
      </c>
      <c r="G50" s="89">
        <v>125120</v>
      </c>
      <c r="H50" s="65">
        <f t="shared" si="0"/>
        <v>4842320</v>
      </c>
      <c r="I50" s="65">
        <v>75600</v>
      </c>
      <c r="J50" s="65">
        <v>572000</v>
      </c>
      <c r="K50" s="86" t="s">
        <v>134</v>
      </c>
      <c r="L50" s="65">
        <v>242000</v>
      </c>
      <c r="M50" s="65">
        <f t="shared" si="1"/>
        <v>889600</v>
      </c>
      <c r="N50" s="65">
        <v>148500</v>
      </c>
      <c r="O50" s="65">
        <v>567600</v>
      </c>
      <c r="P50" s="65">
        <v>716100</v>
      </c>
      <c r="Q50" s="65">
        <f t="shared" si="3"/>
        <v>6448020</v>
      </c>
      <c r="R50" s="49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</row>
    <row r="51" spans="1:46" ht="14.4" x14ac:dyDescent="0.3">
      <c r="A51" s="79" t="s">
        <v>171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1"/>
      <c r="R51" s="55"/>
    </row>
    <row r="52" spans="1:46" x14ac:dyDescent="0.2">
      <c r="A52" s="1" t="s">
        <v>172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R52" s="49"/>
    </row>
    <row r="53" spans="1:46" x14ac:dyDescent="0.2">
      <c r="A53" s="1" t="s">
        <v>190</v>
      </c>
    </row>
    <row r="54" spans="1:46" x14ac:dyDescent="0.2">
      <c r="A54" t="s">
        <v>188</v>
      </c>
      <c r="R54" s="49"/>
    </row>
    <row r="55" spans="1:46" x14ac:dyDescent="0.2">
      <c r="Q55" s="32" t="s">
        <v>191</v>
      </c>
      <c r="R55" s="49"/>
    </row>
  </sheetData>
  <pageMargins left="0.75" right="0.75" top="1" bottom="1" header="0.5" footer="0.5"/>
  <pageSetup scale="73" firstPageNumber="15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3B-1F45-4A6D-BF8B-8D2C1BC32A4A}">
  <sheetPr>
    <pageSetUpPr fitToPage="1"/>
  </sheetPr>
  <dimension ref="A1:AG64"/>
  <sheetViews>
    <sheetView workbookViewId="0"/>
  </sheetViews>
  <sheetFormatPr defaultRowHeight="10.199999999999999" x14ac:dyDescent="0.2"/>
  <cols>
    <col min="1" max="1" width="8.85546875" customWidth="1"/>
    <col min="2" max="16" width="8.42578125" customWidth="1"/>
    <col min="17" max="17" width="10.28515625" customWidth="1"/>
  </cols>
  <sheetData>
    <row r="1" spans="1:18" x14ac:dyDescent="0.2">
      <c r="A1" s="15" t="s">
        <v>184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 t="s">
        <v>50</v>
      </c>
      <c r="O1" s="15" t="s">
        <v>50</v>
      </c>
      <c r="P1" s="15"/>
      <c r="Q1" s="15" t="s">
        <v>50</v>
      </c>
    </row>
    <row r="2" spans="1:18" x14ac:dyDescent="0.2">
      <c r="A2" t="s">
        <v>114</v>
      </c>
      <c r="B2" s="37"/>
      <c r="C2" s="20"/>
      <c r="D2" s="18" t="s">
        <v>115</v>
      </c>
      <c r="E2" s="18"/>
      <c r="F2" s="18"/>
      <c r="G2" s="18"/>
      <c r="H2" s="36"/>
      <c r="I2" s="18"/>
      <c r="J2" s="66"/>
      <c r="K2" s="66" t="s">
        <v>116</v>
      </c>
      <c r="L2" s="18"/>
      <c r="M2" s="36"/>
      <c r="N2" s="16"/>
      <c r="O2" s="18" t="s">
        <v>117</v>
      </c>
      <c r="P2" s="36"/>
      <c r="Q2" s="39" t="s">
        <v>118</v>
      </c>
    </row>
    <row r="3" spans="1:18" x14ac:dyDescent="0.2">
      <c r="A3" s="15" t="s">
        <v>119</v>
      </c>
      <c r="B3" s="44" t="s">
        <v>120</v>
      </c>
      <c r="C3" s="20" t="s">
        <v>121</v>
      </c>
      <c r="D3" s="20" t="s">
        <v>122</v>
      </c>
      <c r="E3" s="20" t="s">
        <v>123</v>
      </c>
      <c r="F3" s="20" t="s">
        <v>124</v>
      </c>
      <c r="G3" s="20" t="s">
        <v>186</v>
      </c>
      <c r="H3" s="45" t="s">
        <v>39</v>
      </c>
      <c r="I3" s="20" t="s">
        <v>125</v>
      </c>
      <c r="J3" s="20" t="s">
        <v>126</v>
      </c>
      <c r="K3" s="20" t="s">
        <v>127</v>
      </c>
      <c r="L3" s="20" t="s">
        <v>128</v>
      </c>
      <c r="M3" s="45" t="s">
        <v>39</v>
      </c>
      <c r="N3" s="20" t="s">
        <v>129</v>
      </c>
      <c r="O3" s="20" t="s">
        <v>130</v>
      </c>
      <c r="P3" s="45" t="s">
        <v>39</v>
      </c>
      <c r="Q3" s="20" t="s">
        <v>131</v>
      </c>
    </row>
    <row r="4" spans="1:18" x14ac:dyDescent="0.2">
      <c r="C4" s="67"/>
      <c r="D4" s="67"/>
      <c r="E4" s="67"/>
      <c r="F4" s="67"/>
      <c r="G4" s="67"/>
      <c r="H4" s="67"/>
      <c r="I4" s="67"/>
      <c r="J4" s="68" t="s">
        <v>16</v>
      </c>
      <c r="K4" s="67"/>
      <c r="L4" s="67"/>
      <c r="M4" s="67"/>
      <c r="N4" s="67"/>
      <c r="O4" s="67"/>
      <c r="P4" s="67"/>
      <c r="Q4" s="67"/>
    </row>
    <row r="5" spans="1:18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8" x14ac:dyDescent="0.2">
      <c r="A6" t="s">
        <v>133</v>
      </c>
      <c r="B6" s="49">
        <f>'tab 15'!B6/'tab 14'!B6</f>
        <v>1325</v>
      </c>
      <c r="C6" s="49">
        <f>'tab 15'!C6/'tab 14'!C6</f>
        <v>2580</v>
      </c>
      <c r="D6" s="49">
        <f>'tab 15'!D6/'tab 14'!D6</f>
        <v>1935</v>
      </c>
      <c r="E6" s="49">
        <f>'tab 15'!E6/'tab 14'!E6</f>
        <v>1100</v>
      </c>
      <c r="F6" s="49">
        <f>'tab 15'!F6/'tab 14'!F6</f>
        <v>1250</v>
      </c>
      <c r="G6" s="91" t="s">
        <v>134</v>
      </c>
      <c r="H6" s="49">
        <f>'tab 15'!H6/'tab 14'!H6</f>
        <v>1807.1863117870723</v>
      </c>
      <c r="I6" s="49">
        <f>'tab 15'!I6/'tab 14'!I6</f>
        <v>1335</v>
      </c>
      <c r="J6" s="49">
        <f>'tab 15'!J6/'tab 14'!J6</f>
        <v>1275</v>
      </c>
      <c r="K6" s="49">
        <f>'tab 15'!K6/'tab 14'!K6</f>
        <v>2540</v>
      </c>
      <c r="L6" s="91" t="s">
        <v>134</v>
      </c>
      <c r="M6" s="49">
        <f>'tab 15'!M6/'tab 14'!M6</f>
        <v>1325.7038976148924</v>
      </c>
      <c r="N6" s="49">
        <f>'tab 15'!N6/'tab 14'!N6</f>
        <v>1285</v>
      </c>
      <c r="O6" s="49">
        <f>'tab 15'!O6/'tab 14'!O6</f>
        <v>1755</v>
      </c>
      <c r="P6" s="49">
        <f>'tab 15'!P6/'tab 14'!P6</f>
        <v>1577.2097378277153</v>
      </c>
      <c r="Q6" s="49">
        <f>'tab 15'!Q6/'tab 14'!Q6</f>
        <v>1645.065009287041</v>
      </c>
      <c r="R6" s="49"/>
    </row>
    <row r="7" spans="1:18" x14ac:dyDescent="0.2">
      <c r="A7" t="s">
        <v>135</v>
      </c>
      <c r="B7" s="49">
        <f>'tab 15'!B7/'tab 14'!B7</f>
        <v>2715</v>
      </c>
      <c r="C7" s="49">
        <f>'tab 15'!C7/'tab 14'!C7</f>
        <v>2970</v>
      </c>
      <c r="D7" s="49">
        <f>'tab 15'!D7/'tab 14'!D7</f>
        <v>2930</v>
      </c>
      <c r="E7" s="49">
        <f>'tab 15'!E7/'tab 14'!E7</f>
        <v>2600</v>
      </c>
      <c r="F7" s="49">
        <f>'tab 15'!F7/'tab 14'!F7</f>
        <v>1900</v>
      </c>
      <c r="G7" s="91" t="s">
        <v>134</v>
      </c>
      <c r="H7" s="49">
        <f>'tab 15'!H7/'tab 14'!H7</f>
        <v>2864.1763554736963</v>
      </c>
      <c r="I7" s="49">
        <f>'tab 15'!I7/'tab 14'!I7</f>
        <v>2080</v>
      </c>
      <c r="J7" s="49">
        <f>'tab 15'!J7/'tab 14'!J7</f>
        <v>1625</v>
      </c>
      <c r="K7" s="49">
        <f>'tab 15'!K7/'tab 14'!K7</f>
        <v>2490</v>
      </c>
      <c r="L7" s="91" t="s">
        <v>134</v>
      </c>
      <c r="M7" s="49">
        <f>'tab 15'!M7/'tab 14'!M7</f>
        <v>1770.9329446064139</v>
      </c>
      <c r="N7" s="49">
        <f>'tab 15'!N7/'tab 14'!N7</f>
        <v>3150</v>
      </c>
      <c r="O7" s="49">
        <f>'tab 15'!O7/'tab 14'!O7</f>
        <v>3230</v>
      </c>
      <c r="P7" s="49">
        <f>'tab 15'!P7/'tab 14'!P7</f>
        <v>3199.6750902527074</v>
      </c>
      <c r="Q7" s="49">
        <f>'tab 15'!Q7/'tab 14'!Q7</f>
        <v>2674.7161953382147</v>
      </c>
      <c r="R7" s="49"/>
    </row>
    <row r="8" spans="1:18" x14ac:dyDescent="0.2">
      <c r="A8" t="s">
        <v>136</v>
      </c>
      <c r="B8" s="49">
        <f>'tab 15'!B8/'tab 14'!B8</f>
        <v>2950</v>
      </c>
      <c r="C8" s="49">
        <f>'tab 15'!C8/'tab 14'!C8</f>
        <v>3000</v>
      </c>
      <c r="D8" s="49">
        <f>'tab 15'!D8/'tab 14'!D8</f>
        <v>3215</v>
      </c>
      <c r="E8" s="49">
        <f>'tab 15'!E8/'tab 14'!E8</f>
        <v>2500</v>
      </c>
      <c r="F8" s="91" t="s">
        <v>134</v>
      </c>
      <c r="G8" s="91" t="s">
        <v>134</v>
      </c>
      <c r="H8" s="49">
        <f>'tab 15'!H8/'tab 14'!H8</f>
        <v>3121.6713483146068</v>
      </c>
      <c r="I8" s="49">
        <f>'tab 15'!I8/'tab 14'!I8</f>
        <v>2030</v>
      </c>
      <c r="J8" s="49">
        <f>'tab 15'!J8/'tab 14'!J8</f>
        <v>1445</v>
      </c>
      <c r="K8" s="49">
        <f>'tab 15'!K8/'tab 14'!K8</f>
        <v>2425</v>
      </c>
      <c r="L8" s="91" t="s">
        <v>134</v>
      </c>
      <c r="M8" s="49">
        <f>'tab 15'!M8/'tab 14'!M8</f>
        <v>1633.2451773490977</v>
      </c>
      <c r="N8" s="49">
        <f>'tab 15'!N8/'tab 14'!N8</f>
        <v>2900</v>
      </c>
      <c r="O8" s="49">
        <f>'tab 15'!O8/'tab 14'!O8</f>
        <v>2800</v>
      </c>
      <c r="P8" s="49">
        <f>'tab 15'!P8/'tab 14'!P8</f>
        <v>2838.9344262295081</v>
      </c>
      <c r="Q8" s="49">
        <f>'tab 15'!Q8/'tab 14'!Q8</f>
        <v>2693.1697197432281</v>
      </c>
      <c r="R8" s="49"/>
    </row>
    <row r="9" spans="1:18" x14ac:dyDescent="0.2">
      <c r="A9" t="s">
        <v>137</v>
      </c>
      <c r="B9" s="49">
        <f>'tab 15'!B9/'tab 14'!B9</f>
        <v>2525</v>
      </c>
      <c r="C9" s="49">
        <f>'tab 15'!C9/'tab 14'!C9</f>
        <v>2780</v>
      </c>
      <c r="D9" s="49">
        <f>'tab 15'!D9/'tab 14'!D9</f>
        <v>2790</v>
      </c>
      <c r="E9" s="49">
        <f>'tab 15'!E9/'tab 14'!E9</f>
        <v>2000</v>
      </c>
      <c r="F9" s="91" t="s">
        <v>134</v>
      </c>
      <c r="G9" s="91" t="s">
        <v>134</v>
      </c>
      <c r="H9" s="49">
        <f>'tab 15'!H9/'tab 14'!H9</f>
        <v>2718.5758133824434</v>
      </c>
      <c r="I9" s="49">
        <f>'tab 15'!I9/'tab 14'!I9</f>
        <v>1940</v>
      </c>
      <c r="J9" s="49">
        <f>'tab 15'!J9/'tab 14'!J9</f>
        <v>1685</v>
      </c>
      <c r="K9" s="49">
        <f>'tab 15'!K9/'tab 14'!K9</f>
        <v>2330</v>
      </c>
      <c r="L9" s="91" t="s">
        <v>134</v>
      </c>
      <c r="M9" s="49">
        <f>'tab 15'!M9/'tab 14'!M9</f>
        <v>1780.5835962145111</v>
      </c>
      <c r="N9" s="49">
        <f>'tab 15'!N9/'tab 14'!N9</f>
        <v>2090</v>
      </c>
      <c r="O9" s="49">
        <f>'tab 15'!O9/'tab 14'!O9</f>
        <v>2165</v>
      </c>
      <c r="P9" s="49">
        <f>'tab 15'!P9/'tab 14'!P9</f>
        <v>2135.5578512396696</v>
      </c>
      <c r="Q9" s="49">
        <f>'tab 15'!Q9/'tab 14'!Q9</f>
        <v>2399.3665817255187</v>
      </c>
      <c r="R9" s="49"/>
    </row>
    <row r="10" spans="1:18" x14ac:dyDescent="0.2">
      <c r="A10" t="s">
        <v>138</v>
      </c>
      <c r="B10" s="49">
        <f>'tab 15'!B10/'tab 14'!B10</f>
        <v>2961.4155251141551</v>
      </c>
      <c r="C10" s="49">
        <f>'tab 15'!C10/'tab 14'!C10</f>
        <v>3200</v>
      </c>
      <c r="D10" s="49">
        <f>'tab 15'!D10/'tab 14'!D10</f>
        <v>3375</v>
      </c>
      <c r="E10" s="49">
        <f>'tab 15'!E10/'tab 14'!E10</f>
        <v>2700</v>
      </c>
      <c r="F10" s="91" t="s">
        <v>134</v>
      </c>
      <c r="G10" s="91" t="s">
        <v>134</v>
      </c>
      <c r="H10" s="49">
        <f>'tab 15'!H10/'tab 14'!H10</f>
        <v>3255.2340873224621</v>
      </c>
      <c r="I10" s="49">
        <f>'tab 15'!I10/'tab 14'!I10</f>
        <v>2150</v>
      </c>
      <c r="J10" s="49">
        <f>'tab 15'!J10/'tab 14'!J10</f>
        <v>1665</v>
      </c>
      <c r="K10" s="49">
        <f>'tab 15'!K10/'tab 14'!K10</f>
        <v>2220</v>
      </c>
      <c r="L10" s="91" t="s">
        <v>134</v>
      </c>
      <c r="M10" s="49">
        <f>'tab 15'!M10/'tab 14'!M10</f>
        <v>1820.8448540706606</v>
      </c>
      <c r="N10" s="49">
        <f>'tab 15'!N10/'tab 14'!N10</f>
        <v>2780</v>
      </c>
      <c r="O10" s="49">
        <f>'tab 15'!O10/'tab 14'!O10</f>
        <v>2900</v>
      </c>
      <c r="P10" s="49">
        <f>'tab 15'!P10/'tab 14'!P10</f>
        <v>2853.8095238095239</v>
      </c>
      <c r="Q10" s="49">
        <f>'tab 15'!Q10/'tab 14'!Q10</f>
        <v>2883.4718586387435</v>
      </c>
      <c r="R10" s="49"/>
    </row>
    <row r="11" spans="1:18" x14ac:dyDescent="0.2">
      <c r="A11" t="s">
        <v>139</v>
      </c>
      <c r="B11" s="49">
        <f>'tab 15'!B11/'tab 14'!B11</f>
        <v>2950</v>
      </c>
      <c r="C11" s="49">
        <f>'tab 15'!C11/'tab 14'!C11</f>
        <v>3000</v>
      </c>
      <c r="D11" s="49">
        <f>'tab 15'!D11/'tab 14'!D11</f>
        <v>3240</v>
      </c>
      <c r="E11" s="49">
        <f>'tab 15'!E11/'tab 14'!E11</f>
        <v>2850</v>
      </c>
      <c r="F11" s="91" t="s">
        <v>134</v>
      </c>
      <c r="G11" s="91" t="s">
        <v>134</v>
      </c>
      <c r="H11" s="49">
        <f>'tab 15'!H11/'tab 14'!H11</f>
        <v>3148.8255416191564</v>
      </c>
      <c r="I11" s="49">
        <f>'tab 15'!I11/'tab 14'!I11</f>
        <v>2060</v>
      </c>
      <c r="J11" s="49">
        <f>'tab 15'!J11/'tab 14'!J11</f>
        <v>1725</v>
      </c>
      <c r="K11" s="49">
        <f>'tab 15'!K11/'tab 14'!K11</f>
        <v>2580</v>
      </c>
      <c r="L11" s="91" t="s">
        <v>134</v>
      </c>
      <c r="M11" s="49">
        <f>'tab 15'!M11/'tab 14'!M11</f>
        <v>1837.8290246768508</v>
      </c>
      <c r="N11" s="49">
        <f>'tab 15'!N11/'tab 14'!N11</f>
        <v>2955</v>
      </c>
      <c r="O11" s="49">
        <f>'tab 15'!O11/'tab 14'!O11</f>
        <v>2935</v>
      </c>
      <c r="P11" s="49">
        <f>'tab 15'!P11/'tab 14'!P11</f>
        <v>2942.68</v>
      </c>
      <c r="Q11" s="49">
        <f>'tab 15'!Q11/'tab 14'!Q11</f>
        <v>2809.5863431920402</v>
      </c>
      <c r="R11" s="49"/>
    </row>
    <row r="12" spans="1:18" x14ac:dyDescent="0.2">
      <c r="A12" t="s">
        <v>140</v>
      </c>
      <c r="B12" s="49">
        <f>'tab 15'!B12/'tab 14'!B12</f>
        <v>2260</v>
      </c>
      <c r="C12" s="49">
        <f>'tab 15'!C12/'tab 14'!C12</f>
        <v>2680</v>
      </c>
      <c r="D12" s="49">
        <f>'tab 15'!D12/'tab 14'!D12</f>
        <v>2455</v>
      </c>
      <c r="E12" s="49">
        <f>'tab 15'!E12/'tab 14'!E12</f>
        <v>2220</v>
      </c>
      <c r="F12" s="91" t="s">
        <v>134</v>
      </c>
      <c r="G12" s="91" t="s">
        <v>134</v>
      </c>
      <c r="H12" s="49">
        <f>'tab 15'!H12/'tab 14'!H12</f>
        <v>2428.7073791348603</v>
      </c>
      <c r="I12" s="49">
        <f>'tab 15'!I12/'tab 14'!I12</f>
        <v>2055</v>
      </c>
      <c r="J12" s="49">
        <f>'tab 15'!J12/'tab 14'!J12</f>
        <v>1750</v>
      </c>
      <c r="K12" s="49">
        <f>'tab 15'!K12/'tab 14'!K12</f>
        <v>2259.8425196850394</v>
      </c>
      <c r="L12" s="91" t="s">
        <v>134</v>
      </c>
      <c r="M12" s="49">
        <f>'tab 15'!M12/'tab 14'!M12</f>
        <v>1853.8821328344247</v>
      </c>
      <c r="N12" s="49">
        <f>'tab 15'!N12/'tab 14'!N12</f>
        <v>3100</v>
      </c>
      <c r="O12" s="49">
        <f>'tab 15'!O12/'tab 14'!O12</f>
        <v>3080</v>
      </c>
      <c r="P12" s="49">
        <f>'tab 15'!P12/'tab 14'!P12</f>
        <v>3087.6724137931033</v>
      </c>
      <c r="Q12" s="49">
        <f>'tab 15'!Q12/'tab 14'!Q12</f>
        <v>2408.2106565919748</v>
      </c>
      <c r="R12" s="49"/>
    </row>
    <row r="13" spans="1:18" x14ac:dyDescent="0.2">
      <c r="A13" t="s">
        <v>141</v>
      </c>
      <c r="B13" s="49">
        <f>'tab 15'!B13/'tab 14'!B13</f>
        <v>2115</v>
      </c>
      <c r="C13" s="49">
        <f>'tab 15'!C13/'tab 14'!C13</f>
        <v>2600</v>
      </c>
      <c r="D13" s="49">
        <f>'tab 15'!D13/'tab 14'!D13</f>
        <v>2500</v>
      </c>
      <c r="E13" s="49">
        <f>'tab 15'!E13/'tab 14'!E13</f>
        <v>2400</v>
      </c>
      <c r="F13" s="91" t="s">
        <v>134</v>
      </c>
      <c r="G13" s="91" t="s">
        <v>134</v>
      </c>
      <c r="H13" s="49">
        <f>'tab 15'!H13/'tab 14'!H13</f>
        <v>2417.8646934460889</v>
      </c>
      <c r="I13" s="49">
        <f>'tab 15'!I13/'tab 14'!I13</f>
        <v>2250</v>
      </c>
      <c r="J13" s="49">
        <f>'tab 15'!J13/'tab 14'!J13</f>
        <v>1750</v>
      </c>
      <c r="K13" s="49">
        <f>'tab 15'!K13/'tab 14'!K13</f>
        <v>2400</v>
      </c>
      <c r="L13" s="91" t="s">
        <v>134</v>
      </c>
      <c r="M13" s="49">
        <f>'tab 15'!M13/'tab 14'!M13</f>
        <v>1908.3929554210238</v>
      </c>
      <c r="N13" s="49">
        <f>'tab 15'!N13/'tab 14'!N13</f>
        <v>2700</v>
      </c>
      <c r="O13" s="49">
        <f>'tab 15'!O13/'tab 14'!O13</f>
        <v>2650</v>
      </c>
      <c r="P13" s="49">
        <f>'tab 15'!P13/'tab 14'!P13</f>
        <v>2668.90756302521</v>
      </c>
      <c r="Q13" s="49">
        <f>'tab 15'!Q13/'tab 14'!Q13</f>
        <v>2336.8295204859764</v>
      </c>
      <c r="R13" s="49"/>
    </row>
    <row r="14" spans="1:18" x14ac:dyDescent="0.2">
      <c r="A14" t="s">
        <v>142</v>
      </c>
      <c r="B14" s="49">
        <f>'tab 15'!B14/'tab 14'!B14</f>
        <v>2380</v>
      </c>
      <c r="C14" s="49">
        <f>'tab 15'!C14/'tab 14'!C14</f>
        <v>2540</v>
      </c>
      <c r="D14" s="49">
        <f>'tab 15'!D14/'tab 14'!D14</f>
        <v>2630</v>
      </c>
      <c r="E14" s="49">
        <f>'tab 15'!E14/'tab 14'!E14</f>
        <v>2470</v>
      </c>
      <c r="F14" s="91" t="s">
        <v>134</v>
      </c>
      <c r="G14" s="91" t="s">
        <v>134</v>
      </c>
      <c r="H14" s="49">
        <f>'tab 15'!H14/'tab 14'!H14</f>
        <v>2562.44140625</v>
      </c>
      <c r="I14" s="49">
        <f>'tab 15'!I14/'tab 14'!I14</f>
        <v>2320</v>
      </c>
      <c r="J14" s="49">
        <f>'tab 15'!J14/'tab 14'!J14</f>
        <v>1670</v>
      </c>
      <c r="K14" s="49">
        <f>'tab 15'!K14/'tab 14'!K14</f>
        <v>2280</v>
      </c>
      <c r="L14" s="91" t="s">
        <v>134</v>
      </c>
      <c r="M14" s="49">
        <f>'tab 15'!M14/'tab 14'!M14</f>
        <v>1867.624861265261</v>
      </c>
      <c r="N14" s="49">
        <f>'tab 15'!N14/'tab 14'!N14</f>
        <v>2900</v>
      </c>
      <c r="O14" s="49">
        <f>'tab 15'!O14/'tab 14'!O14</f>
        <v>2745</v>
      </c>
      <c r="P14" s="49">
        <f>'tab 15'!P14/'tab 14'!P14</f>
        <v>2802.8073770491801</v>
      </c>
      <c r="Q14" s="49">
        <f>'tab 15'!Q14/'tab 14'!Q14</f>
        <v>2444.6800540407762</v>
      </c>
      <c r="R14" s="49"/>
    </row>
    <row r="15" spans="1:18" x14ac:dyDescent="0.2">
      <c r="A15" t="s">
        <v>143</v>
      </c>
      <c r="B15" s="49">
        <f>'tab 15'!B15/'tab 14'!B15</f>
        <v>2250</v>
      </c>
      <c r="C15" s="49">
        <f>'tab 15'!C15/'tab 14'!C15</f>
        <v>2470</v>
      </c>
      <c r="D15" s="49">
        <f>'tab 15'!D15/'tab 14'!D15</f>
        <v>2700</v>
      </c>
      <c r="E15" s="49">
        <f>'tab 15'!E15/'tab 14'!E15</f>
        <v>2600</v>
      </c>
      <c r="F15" s="91" t="s">
        <v>134</v>
      </c>
      <c r="G15" s="91" t="s">
        <v>134</v>
      </c>
      <c r="H15" s="49">
        <f>'tab 15'!H15/'tab 14'!H15</f>
        <v>2574.1475329750856</v>
      </c>
      <c r="I15" s="49">
        <f>'tab 15'!I15/'tab 14'!I15</f>
        <v>2150</v>
      </c>
      <c r="J15" s="49">
        <f>'tab 15'!J15/'tab 14'!J15</f>
        <v>1850</v>
      </c>
      <c r="K15" s="49">
        <f>'tab 15'!K15/'tab 14'!K15</f>
        <v>2400</v>
      </c>
      <c r="L15" s="91" t="s">
        <v>134</v>
      </c>
      <c r="M15" s="49">
        <f>'tab 15'!M15/'tab 14'!M15</f>
        <v>1954.2041248016924</v>
      </c>
      <c r="N15" s="49">
        <f>'tab 15'!N15/'tab 14'!N15</f>
        <v>2705</v>
      </c>
      <c r="O15" s="49">
        <f>'tab 15'!O15/'tab 14'!O15</f>
        <v>2435</v>
      </c>
      <c r="P15" s="49">
        <f>'tab 15'!P15/'tab 14'!P15</f>
        <v>2536.1111111111113</v>
      </c>
      <c r="Q15" s="49">
        <f>'tab 15'!Q15/'tab 14'!Q15</f>
        <v>2425.9713017571594</v>
      </c>
      <c r="R15" s="49"/>
    </row>
    <row r="16" spans="1:18" x14ac:dyDescent="0.2">
      <c r="A16" t="s">
        <v>144</v>
      </c>
      <c r="B16" s="49">
        <f>'tab 15'!B16/'tab 14'!B16</f>
        <v>1510</v>
      </c>
      <c r="C16" s="49">
        <f>'tab 15'!C16/'tab 14'!C16</f>
        <v>2340</v>
      </c>
      <c r="D16" s="49">
        <f>'tab 15'!D16/'tab 14'!D16</f>
        <v>1750</v>
      </c>
      <c r="E16" s="49">
        <f>'tab 15'!E16/'tab 14'!E16</f>
        <v>2230</v>
      </c>
      <c r="F16" s="91" t="s">
        <v>134</v>
      </c>
      <c r="G16" s="91" t="s">
        <v>134</v>
      </c>
      <c r="H16" s="49">
        <f>'tab 15'!H16/'tab 14'!H16</f>
        <v>1753.5454146555508</v>
      </c>
      <c r="I16" s="49">
        <f>'tab 15'!I16/'tab 14'!I16</f>
        <v>2220</v>
      </c>
      <c r="J16" s="49">
        <f>'tab 15'!J16/'tab 14'!J16</f>
        <v>1850</v>
      </c>
      <c r="K16" s="49">
        <f>'tab 15'!K16/'tab 14'!K16</f>
        <v>2500</v>
      </c>
      <c r="L16" s="91" t="s">
        <v>134</v>
      </c>
      <c r="M16" s="49">
        <f>'tab 15'!M16/'tab 14'!M16</f>
        <v>1975.8313253012047</v>
      </c>
      <c r="N16" s="49">
        <f>'tab 15'!N16/'tab 14'!N16</f>
        <v>3195</v>
      </c>
      <c r="O16" s="49">
        <f>'tab 15'!O16/'tab 14'!O16</f>
        <v>2900</v>
      </c>
      <c r="P16" s="49">
        <f>'tab 15'!P16/'tab 14'!P16</f>
        <v>3009.6360153256705</v>
      </c>
      <c r="Q16" s="49">
        <f>'tab 15'!Q16/'tab 14'!Q16</f>
        <v>1984.9352795373175</v>
      </c>
      <c r="R16" s="49"/>
    </row>
    <row r="17" spans="1:18" x14ac:dyDescent="0.2">
      <c r="A17" t="s">
        <v>145</v>
      </c>
      <c r="B17" s="49">
        <f>'tab 15'!B17/'tab 14'!B17</f>
        <v>2305</v>
      </c>
      <c r="C17" s="49">
        <f>'tab 15'!C17/'tab 14'!C17</f>
        <v>2370</v>
      </c>
      <c r="D17" s="49">
        <f>'tab 15'!D17/'tab 14'!D17</f>
        <v>2490</v>
      </c>
      <c r="E17" s="49">
        <f>'tab 15'!E17/'tab 14'!E17</f>
        <v>2400</v>
      </c>
      <c r="F17" s="91" t="s">
        <v>134</v>
      </c>
      <c r="G17" s="91" t="s">
        <v>134</v>
      </c>
      <c r="H17" s="49">
        <f>'tab 15'!H17/'tab 14'!H17</f>
        <v>2438.8765337423315</v>
      </c>
      <c r="I17" s="49">
        <f>'tab 15'!I17/'tab 14'!I17</f>
        <v>2300</v>
      </c>
      <c r="J17" s="49">
        <f>'tab 15'!J17/'tab 14'!J17</f>
        <v>2100</v>
      </c>
      <c r="K17" s="49">
        <f>'tab 15'!K17/'tab 14'!K17</f>
        <v>2250</v>
      </c>
      <c r="L17" s="91" t="s">
        <v>134</v>
      </c>
      <c r="M17" s="49">
        <f>'tab 15'!M17/'tab 14'!M17</f>
        <v>2154.2318712805818</v>
      </c>
      <c r="N17" s="49">
        <f>'tab 15'!N17/'tab 14'!N17</f>
        <v>3200</v>
      </c>
      <c r="O17" s="49">
        <f>'tab 15'!O17/'tab 14'!O17</f>
        <v>2850</v>
      </c>
      <c r="P17" s="49">
        <f>'tab 15'!P17/'tab 14'!P17</f>
        <v>2980.2325581395348</v>
      </c>
      <c r="Q17" s="49">
        <f>'tab 15'!Q17/'tab 14'!Q17</f>
        <v>2444.0988242297963</v>
      </c>
      <c r="R17" s="49"/>
    </row>
    <row r="18" spans="1:18" x14ac:dyDescent="0.2">
      <c r="A18" t="s">
        <v>146</v>
      </c>
      <c r="B18" s="49">
        <f>'tab 15'!B18/'tab 14'!B18</f>
        <v>2505</v>
      </c>
      <c r="C18" s="49">
        <f>'tab 15'!C18/'tab 14'!C18</f>
        <v>2630</v>
      </c>
      <c r="D18" s="49">
        <f>'tab 15'!D18/'tab 14'!D18</f>
        <v>2705</v>
      </c>
      <c r="E18" s="49">
        <f>'tab 15'!E18/'tab 14'!E18</f>
        <v>2500</v>
      </c>
      <c r="F18" s="91" t="s">
        <v>134</v>
      </c>
      <c r="G18" s="91" t="s">
        <v>134</v>
      </c>
      <c r="H18" s="49">
        <f>'tab 15'!H18/'tab 14'!H18</f>
        <v>2649.3043043043044</v>
      </c>
      <c r="I18" s="49">
        <f>'tab 15'!I18/'tab 14'!I18</f>
        <v>2410</v>
      </c>
      <c r="J18" s="49">
        <f>'tab 15'!J18/'tab 14'!J18</f>
        <v>2230</v>
      </c>
      <c r="K18" s="49">
        <f>'tab 15'!K18/'tab 14'!K18</f>
        <v>2760</v>
      </c>
      <c r="L18" s="91" t="s">
        <v>134</v>
      </c>
      <c r="M18" s="49">
        <f>'tab 15'!M18/'tab 14'!M18</f>
        <v>2297.962744635699</v>
      </c>
      <c r="N18" s="49">
        <f>'tab 15'!N18/'tab 14'!N18</f>
        <v>2755</v>
      </c>
      <c r="O18" s="49">
        <f>'tab 15'!O18/'tab 14'!O18</f>
        <v>2660</v>
      </c>
      <c r="P18" s="49">
        <f>'tab 15'!P18/'tab 14'!P18</f>
        <v>2695.9146341463415</v>
      </c>
      <c r="Q18" s="49">
        <f>'tab 15'!Q18/'tab 14'!Q18</f>
        <v>2566.9019231921397</v>
      </c>
      <c r="R18" s="49"/>
    </row>
    <row r="19" spans="1:18" x14ac:dyDescent="0.2">
      <c r="A19" t="s">
        <v>147</v>
      </c>
      <c r="B19" s="49">
        <f>'tab 15'!B19/'tab 14'!B19</f>
        <v>1980</v>
      </c>
      <c r="C19" s="49">
        <f>'tab 15'!C19/'tab 14'!C19</f>
        <v>2320</v>
      </c>
      <c r="D19" s="49">
        <f>'tab 15'!D19/'tab 14'!D19</f>
        <v>1985</v>
      </c>
      <c r="E19" s="49">
        <f>'tab 15'!E19/'tab 14'!E19</f>
        <v>1750</v>
      </c>
      <c r="F19" s="91" t="s">
        <v>134</v>
      </c>
      <c r="G19" s="91" t="s">
        <v>134</v>
      </c>
      <c r="H19" s="49">
        <f>'tab 15'!H19/'tab 14'!H19</f>
        <v>2007.8771760154739</v>
      </c>
      <c r="I19" s="49">
        <f>'tab 15'!I19/'tab 14'!I19</f>
        <v>2290</v>
      </c>
      <c r="J19" s="49">
        <f>'tab 15'!J19/'tab 14'!J19</f>
        <v>1865</v>
      </c>
      <c r="K19" s="49">
        <f>'tab 15'!K19/'tab 14'!K19</f>
        <v>2600</v>
      </c>
      <c r="L19" s="91" t="s">
        <v>134</v>
      </c>
      <c r="M19" s="49">
        <f>'tab 15'!M19/'tab 14'!M19</f>
        <v>2006.7693409742119</v>
      </c>
      <c r="N19" s="49">
        <f>'tab 15'!N19/'tab 14'!N19</f>
        <v>1875</v>
      </c>
      <c r="O19" s="49">
        <f>'tab 15'!O19/'tab 14'!O19</f>
        <v>2095</v>
      </c>
      <c r="P19" s="49">
        <f>'tab 15'!P19/'tab 14'!P19</f>
        <v>2007.7426160337552</v>
      </c>
      <c r="Q19" s="49">
        <f>'tab 15'!Q19/'tab 14'!Q19</f>
        <v>2007.5837377204402</v>
      </c>
      <c r="R19" s="49"/>
    </row>
    <row r="20" spans="1:18" x14ac:dyDescent="0.2">
      <c r="A20" t="s">
        <v>148</v>
      </c>
      <c r="B20" s="49">
        <f>'tab 15'!B20/'tab 14'!B20</f>
        <v>2010</v>
      </c>
      <c r="C20" s="49">
        <f>'tab 15'!C20/'tab 14'!C20</f>
        <v>2470</v>
      </c>
      <c r="D20" s="49">
        <f>'tab 15'!D20/'tab 14'!D20</f>
        <v>2870</v>
      </c>
      <c r="E20" s="49">
        <f>'tab 15'!E20/'tab 14'!E20</f>
        <v>2900</v>
      </c>
      <c r="F20" s="91" t="s">
        <v>134</v>
      </c>
      <c r="G20" s="91" t="s">
        <v>134</v>
      </c>
      <c r="H20" s="49">
        <f>'tab 15'!H20/'tab 14'!H20</f>
        <v>2638.3255813953488</v>
      </c>
      <c r="I20" s="49">
        <f>'tab 15'!I20/'tab 14'!I20</f>
        <v>2610</v>
      </c>
      <c r="J20" s="49">
        <f>'tab 15'!J20/'tab 14'!J20</f>
        <v>2110</v>
      </c>
      <c r="K20" s="49">
        <f>'tab 15'!K20/'tab 14'!K20</f>
        <v>2460</v>
      </c>
      <c r="L20" s="91" t="s">
        <v>134</v>
      </c>
      <c r="M20" s="49">
        <f>'tab 15'!M20/'tab 14'!M20</f>
        <v>2250.5637254901962</v>
      </c>
      <c r="N20" s="49">
        <f>'tab 15'!N20/'tab 14'!N20</f>
        <v>3165</v>
      </c>
      <c r="O20" s="49">
        <f>'tab 15'!O20/'tab 14'!O20</f>
        <v>3215</v>
      </c>
      <c r="P20" s="49">
        <f>'tab 15'!P20/'tab 14'!P20</f>
        <v>3196.0699588477364</v>
      </c>
      <c r="Q20" s="49">
        <f>'tab 15'!Q20/'tab 14'!Q20</f>
        <v>2624.3157244362064</v>
      </c>
      <c r="R20" s="49"/>
    </row>
    <row r="21" spans="1:18" x14ac:dyDescent="0.2">
      <c r="A21" t="s">
        <v>149</v>
      </c>
      <c r="B21" s="49">
        <f>'tab 15'!B21/'tab 14'!B21</f>
        <v>2280</v>
      </c>
      <c r="C21" s="49">
        <f>'tab 15'!C21/'tab 14'!C21</f>
        <v>2390</v>
      </c>
      <c r="D21" s="49">
        <f>'tab 15'!D21/'tab 14'!D21</f>
        <v>2390</v>
      </c>
      <c r="E21" s="49">
        <f>'tab 15'!E21/'tab 14'!E21</f>
        <v>2800</v>
      </c>
      <c r="F21" s="91" t="s">
        <v>134</v>
      </c>
      <c r="G21" s="91" t="s">
        <v>134</v>
      </c>
      <c r="H21" s="49">
        <f>'tab 15'!H21/'tab 14'!H21</f>
        <v>2369.0066964285716</v>
      </c>
      <c r="I21" s="49">
        <f>'tab 15'!I21/'tab 14'!I21</f>
        <v>2060</v>
      </c>
      <c r="J21" s="49">
        <f>'tab 15'!J21/'tab 14'!J21</f>
        <v>2000</v>
      </c>
      <c r="K21" s="49">
        <f>'tab 15'!K21/'tab 14'!K21</f>
        <v>2150</v>
      </c>
      <c r="L21" s="91" t="s">
        <v>134</v>
      </c>
      <c r="M21" s="49">
        <f>'tab 15'!M21/'tab 14'!M21</f>
        <v>2022.8865979381444</v>
      </c>
      <c r="N21" s="49">
        <f>'tab 15'!N21/'tab 14'!N21</f>
        <v>2325</v>
      </c>
      <c r="O21" s="49">
        <f>'tab 15'!O21/'tab 14'!O21</f>
        <v>2410</v>
      </c>
      <c r="P21" s="49">
        <f>'tab 15'!P21/'tab 14'!P21</f>
        <v>2377.5321888412018</v>
      </c>
      <c r="Q21" s="49">
        <f>'tab 15'!Q21/'tab 14'!Q21</f>
        <v>2281.7897165458139</v>
      </c>
      <c r="R21" s="49"/>
    </row>
    <row r="22" spans="1:18" x14ac:dyDescent="0.2">
      <c r="A22" t="s">
        <v>150</v>
      </c>
      <c r="B22" s="49">
        <f>'tab 15'!B22/'tab 14'!B22</f>
        <v>2355</v>
      </c>
      <c r="C22" s="49">
        <f>'tab 15'!C22/'tab 14'!C22</f>
        <v>2880</v>
      </c>
      <c r="D22" s="49">
        <f>'tab 15'!D22/'tab 14'!D22</f>
        <v>2690</v>
      </c>
      <c r="E22" s="49">
        <f>'tab 15'!E22/'tab 14'!E22</f>
        <v>3100</v>
      </c>
      <c r="F22" s="91" t="s">
        <v>134</v>
      </c>
      <c r="G22" s="91" t="s">
        <v>134</v>
      </c>
      <c r="H22" s="49">
        <f>'tab 15'!H22/'tab 14'!H22</f>
        <v>2635.9889773423147</v>
      </c>
      <c r="I22" s="49">
        <f>'tab 15'!I22/'tab 14'!I22</f>
        <v>2410</v>
      </c>
      <c r="J22" s="49">
        <f>'tab 15'!J22/'tab 14'!J22</f>
        <v>2600</v>
      </c>
      <c r="K22" s="49">
        <f>'tab 15'!K22/'tab 14'!K22</f>
        <v>2300</v>
      </c>
      <c r="L22" s="91" t="s">
        <v>134</v>
      </c>
      <c r="M22" s="49">
        <f>'tab 15'!M22/'tab 14'!M22</f>
        <v>2543.8896551724138</v>
      </c>
      <c r="N22" s="49">
        <f>'tab 15'!N22/'tab 14'!N22</f>
        <v>2885</v>
      </c>
      <c r="O22" s="49">
        <f>'tab 15'!O22/'tab 14'!O22</f>
        <v>2940</v>
      </c>
      <c r="P22" s="49">
        <f>'tab 15'!P22/'tab 14'!P22</f>
        <v>2919.2039800995026</v>
      </c>
      <c r="Q22" s="49">
        <f>'tab 15'!Q22/'tab 14'!Q22</f>
        <v>2653.0471014492755</v>
      </c>
      <c r="R22" s="49"/>
    </row>
    <row r="23" spans="1:18" x14ac:dyDescent="0.2">
      <c r="A23" t="s">
        <v>151</v>
      </c>
      <c r="B23" s="49">
        <f>'tab 15'!B23/'tab 14'!B23</f>
        <v>1930</v>
      </c>
      <c r="C23" s="49">
        <f>'tab 15'!C23/'tab 14'!C23</f>
        <v>2715</v>
      </c>
      <c r="D23" s="49">
        <f>'tab 15'!D23/'tab 14'!D23</f>
        <v>2570</v>
      </c>
      <c r="E23" s="49">
        <f>'tab 15'!E23/'tab 14'!E23</f>
        <v>2900</v>
      </c>
      <c r="F23" s="91" t="s">
        <v>134</v>
      </c>
      <c r="G23" s="91" t="s">
        <v>134</v>
      </c>
      <c r="H23" s="49">
        <f>'tab 15'!H23/'tab 14'!H23</f>
        <v>2436.2430254184751</v>
      </c>
      <c r="I23" s="49">
        <f>'tab 15'!I23/'tab 14'!I23</f>
        <v>2400</v>
      </c>
      <c r="J23" s="49">
        <f>'tab 15'!J23/'tab 14'!J23</f>
        <v>2610</v>
      </c>
      <c r="K23" s="49">
        <f>'tab 15'!K23/'tab 14'!K23</f>
        <v>2700</v>
      </c>
      <c r="L23" s="91" t="s">
        <v>134</v>
      </c>
      <c r="M23" s="49">
        <f>'tab 15'!M23/'tab 14'!M23</f>
        <v>2574.297581236257</v>
      </c>
      <c r="N23" s="49">
        <f>'tab 15'!N23/'tab 14'!N23</f>
        <v>2550</v>
      </c>
      <c r="O23" s="49">
        <f>'tab 15'!O23/'tab 14'!O23</f>
        <v>2680</v>
      </c>
      <c r="P23" s="49">
        <f>'tab 15'!P23/'tab 14'!P23</f>
        <v>2630.757575757576</v>
      </c>
      <c r="Q23" s="49">
        <f>'tab 15'!Q23/'tab 14'!Q23</f>
        <v>2503.4516904795587</v>
      </c>
      <c r="R23" s="49"/>
    </row>
    <row r="24" spans="1:18" x14ac:dyDescent="0.2">
      <c r="A24" t="s">
        <v>152</v>
      </c>
      <c r="B24" s="49">
        <f>'tab 15'!B24/'tab 14'!B24</f>
        <v>2195</v>
      </c>
      <c r="C24" s="49">
        <f>'tab 15'!C24/'tab 14'!C24</f>
        <v>2590</v>
      </c>
      <c r="D24" s="49">
        <f>'tab 15'!D24/'tab 14'!D24</f>
        <v>2815</v>
      </c>
      <c r="E24" s="49">
        <f>'tab 15'!E24/'tab 14'!E24</f>
        <v>2450</v>
      </c>
      <c r="F24" s="91" t="s">
        <v>134</v>
      </c>
      <c r="G24" s="91" t="s">
        <v>134</v>
      </c>
      <c r="H24" s="49">
        <f>'tab 15'!H24/'tab 14'!H24</f>
        <v>2639.5511669658886</v>
      </c>
      <c r="I24" s="49">
        <f>'tab 15'!I24/'tab 14'!I24</f>
        <v>2130</v>
      </c>
      <c r="J24" s="49">
        <f>'tab 15'!J24/'tab 14'!J24</f>
        <v>2740</v>
      </c>
      <c r="K24" s="49">
        <f>'tab 15'!K24/'tab 14'!K24</f>
        <v>2820</v>
      </c>
      <c r="L24" s="91" t="s">
        <v>134</v>
      </c>
      <c r="M24" s="49">
        <f>'tab 15'!M24/'tab 14'!M24</f>
        <v>2638.1712962962961</v>
      </c>
      <c r="N24" s="49">
        <f>'tab 15'!N24/'tab 14'!N24</f>
        <v>2950</v>
      </c>
      <c r="O24" s="49">
        <f>'tab 15'!O24/'tab 14'!O24</f>
        <v>3190</v>
      </c>
      <c r="P24" s="49">
        <f>'tab 15'!P24/'tab 14'!P24</f>
        <v>3099.7744360902257</v>
      </c>
      <c r="Q24" s="49">
        <f>'tab 15'!Q24/'tab 14'!Q24</f>
        <v>2701.7314246762098</v>
      </c>
      <c r="R24" s="49"/>
    </row>
    <row r="25" spans="1:18" x14ac:dyDescent="0.2">
      <c r="A25" t="s">
        <v>153</v>
      </c>
      <c r="B25" s="49">
        <f>'tab 15'!B25/'tab 14'!B25</f>
        <v>2175</v>
      </c>
      <c r="C25" s="49">
        <f>'tab 15'!C25/'tab 14'!C25</f>
        <v>2770</v>
      </c>
      <c r="D25" s="49">
        <f>'tab 15'!D25/'tab 14'!D25</f>
        <v>2575</v>
      </c>
      <c r="E25" s="49">
        <f>'tab 15'!E25/'tab 14'!E25</f>
        <v>2300</v>
      </c>
      <c r="F25" s="91" t="s">
        <v>134</v>
      </c>
      <c r="G25" s="91" t="s">
        <v>134</v>
      </c>
      <c r="H25" s="49">
        <f>'tab 15'!H25/'tab 14'!H25</f>
        <v>2496.5263157894738</v>
      </c>
      <c r="I25" s="49">
        <f>'tab 15'!I25/'tab 14'!I25</f>
        <v>2400</v>
      </c>
      <c r="J25" s="49">
        <f>'tab 15'!J25/'tab 14'!J25</f>
        <v>3310</v>
      </c>
      <c r="K25" s="49">
        <f>'tab 15'!K25/'tab 14'!K25</f>
        <v>2800</v>
      </c>
      <c r="L25" s="91" t="s">
        <v>134</v>
      </c>
      <c r="M25" s="49">
        <f>'tab 15'!M25/'tab 14'!M25</f>
        <v>3091.8635170603675</v>
      </c>
      <c r="N25" s="49">
        <f>'tab 15'!N25/'tab 14'!N25</f>
        <v>2870</v>
      </c>
      <c r="O25" s="49">
        <f>'tab 15'!O25/'tab 14'!O25</f>
        <v>2410</v>
      </c>
      <c r="P25" s="49">
        <f>'tab 15'!P25/'tab 14'!P25</f>
        <v>2584.8000000000002</v>
      </c>
      <c r="Q25" s="49">
        <f>'tab 15'!Q25/'tab 14'!Q25</f>
        <v>2666.7757660167131</v>
      </c>
      <c r="R25" s="49"/>
    </row>
    <row r="26" spans="1:18" x14ac:dyDescent="0.2">
      <c r="A26" s="1">
        <v>2000</v>
      </c>
      <c r="B26" s="49">
        <f>'tab 15'!B26/'tab 14'!B26</f>
        <v>1490</v>
      </c>
      <c r="C26" s="49">
        <f>'tab 15'!C26/'tab 14'!C26</f>
        <v>2485</v>
      </c>
      <c r="D26" s="49">
        <f>'tab 15'!D26/'tab 14'!D26</f>
        <v>2700</v>
      </c>
      <c r="E26" s="49">
        <f>'tab 15'!E26/'tab 14'!E26</f>
        <v>2950</v>
      </c>
      <c r="F26" s="91" t="s">
        <v>134</v>
      </c>
      <c r="G26" s="91" t="s">
        <v>134</v>
      </c>
      <c r="H26" s="49">
        <f>'tab 15'!H26/'tab 14'!H26</f>
        <v>2393.2337662337663</v>
      </c>
      <c r="I26" s="49">
        <f>'tab 15'!I26/'tab 14'!I26</f>
        <v>1800</v>
      </c>
      <c r="J26" s="49">
        <f>'tab 15'!J26/'tab 14'!J26</f>
        <v>2540</v>
      </c>
      <c r="K26" s="49">
        <f>'tab 15'!K26/'tab 14'!K26</f>
        <v>2115</v>
      </c>
      <c r="L26" s="91" t="s">
        <v>134</v>
      </c>
      <c r="M26" s="49">
        <f>'tab 15'!M26/'tab 14'!M26</f>
        <v>2375.2445652173915</v>
      </c>
      <c r="N26" s="49">
        <f>'tab 15'!N26/'tab 14'!N26</f>
        <v>2805</v>
      </c>
      <c r="O26" s="49">
        <f>'tab 15'!O26/'tab 14'!O26</f>
        <v>2750</v>
      </c>
      <c r="P26" s="49">
        <f>'tab 15'!P26/'tab 14'!P26</f>
        <v>2770.8333333333335</v>
      </c>
      <c r="Q26" s="49">
        <f>'tab 15'!Q26/'tab 14'!Q26</f>
        <v>2444.2402694610778</v>
      </c>
      <c r="R26" s="49"/>
    </row>
    <row r="27" spans="1:18" x14ac:dyDescent="0.2">
      <c r="A27" s="1">
        <v>2001</v>
      </c>
      <c r="B27" s="49">
        <f>'tab 15'!B27/'tab 14'!B27</f>
        <v>2675</v>
      </c>
      <c r="C27" s="49">
        <f>'tab 15'!C27/'tab 14'!C27</f>
        <v>3050</v>
      </c>
      <c r="D27" s="49">
        <f>'tab 15'!D27/'tab 14'!D27</f>
        <v>3330</v>
      </c>
      <c r="E27" s="49">
        <f>'tab 15'!E27/'tab 14'!E27</f>
        <v>3000</v>
      </c>
      <c r="F27" s="91" t="s">
        <v>134</v>
      </c>
      <c r="G27" s="91" t="s">
        <v>134</v>
      </c>
      <c r="H27" s="49">
        <f>'tab 15'!H27/'tab 14'!H27</f>
        <v>3135.4259811227021</v>
      </c>
      <c r="I27" s="49">
        <f>'tab 15'!I27/'tab 14'!I27</f>
        <v>2570</v>
      </c>
      <c r="J27" s="49">
        <f>'tab 15'!J27/'tab 14'!J27</f>
        <v>2890</v>
      </c>
      <c r="K27" s="49">
        <f>'tab 15'!K27/'tab 14'!K27</f>
        <v>3020</v>
      </c>
      <c r="L27" s="91" t="s">
        <v>134</v>
      </c>
      <c r="M27" s="49">
        <f>'tab 15'!M27/'tab 14'!M27</f>
        <v>2836.837732160313</v>
      </c>
      <c r="N27" s="49">
        <f>'tab 15'!N27/'tab 14'!N27</f>
        <v>3130</v>
      </c>
      <c r="O27" s="49">
        <f>'tab 15'!O27/'tab 14'!O27</f>
        <v>2910</v>
      </c>
      <c r="P27" s="49">
        <f>'tab 15'!P27/'tab 14'!P27</f>
        <v>2993.5443037974683</v>
      </c>
      <c r="Q27" s="49">
        <f>'tab 15'!Q27/'tab 14'!Q27</f>
        <v>3029.0417168354697</v>
      </c>
      <c r="R27" s="49"/>
    </row>
    <row r="28" spans="1:18" x14ac:dyDescent="0.2">
      <c r="A28" s="1">
        <v>2002</v>
      </c>
      <c r="B28" s="49">
        <f>'tab 15'!B28/'tab 14'!B28</f>
        <v>2110</v>
      </c>
      <c r="C28" s="49">
        <f>'tab 15'!C28/'tab 14'!C28</f>
        <v>2300</v>
      </c>
      <c r="D28" s="49">
        <f>'tab 15'!D28/'tab 14'!D28</f>
        <v>2600</v>
      </c>
      <c r="E28" s="49">
        <f>'tab 15'!E28/'tab 14'!E28</f>
        <v>2200</v>
      </c>
      <c r="F28" s="91" t="s">
        <v>134</v>
      </c>
      <c r="G28" s="91" t="s">
        <v>134</v>
      </c>
      <c r="H28" s="49">
        <f>'tab 15'!H28/'tab 14'!H28</f>
        <v>2449.3266641015775</v>
      </c>
      <c r="I28" s="49">
        <f>'tab 15'!I28/'tab 14'!I28</f>
        <v>2800</v>
      </c>
      <c r="J28" s="49">
        <f>'tab 15'!J28/'tab 14'!J28</f>
        <v>3100</v>
      </c>
      <c r="K28" s="49">
        <f>'tab 15'!K28/'tab 14'!K28</f>
        <v>3000</v>
      </c>
      <c r="L28" s="91" t="s">
        <v>134</v>
      </c>
      <c r="M28" s="49">
        <f>'tab 15'!M28/'tab 14'!M28</f>
        <v>3046.7605633802818</v>
      </c>
      <c r="N28" s="49">
        <f>'tab 15'!N28/'tab 14'!N28</f>
        <v>2100</v>
      </c>
      <c r="O28" s="49">
        <f>'tab 15'!O28/'tab 14'!O28</f>
        <v>2100</v>
      </c>
      <c r="P28" s="49">
        <f>'tab 15'!P28/'tab 14'!P28</f>
        <v>2100</v>
      </c>
      <c r="Q28" s="49">
        <f>'tab 15'!Q28/'tab 14'!Q28</f>
        <v>2571.0613919640782</v>
      </c>
      <c r="R28" s="49"/>
    </row>
    <row r="29" spans="1:18" x14ac:dyDescent="0.2">
      <c r="A29" s="1">
        <v>2003</v>
      </c>
      <c r="B29" s="49">
        <f>'tab 15'!B29/'tab 14'!B29</f>
        <v>2750</v>
      </c>
      <c r="C29" s="49">
        <f>'tab 15'!C29/'tab 14'!C29</f>
        <v>3000</v>
      </c>
      <c r="D29" s="49">
        <f>'tab 15'!D29/'tab 14'!D29</f>
        <v>3450</v>
      </c>
      <c r="E29" s="49">
        <f>'tab 15'!E29/'tab 14'!E29</f>
        <v>3400</v>
      </c>
      <c r="F29" s="91" t="s">
        <v>134</v>
      </c>
      <c r="G29" s="91" t="s">
        <v>134</v>
      </c>
      <c r="H29" s="49">
        <f>'tab 15'!H29/'tab 14'!H29</f>
        <v>3237.5145857642942</v>
      </c>
      <c r="I29" s="49">
        <f>'tab 15'!I29/'tab 14'!I29</f>
        <v>2800</v>
      </c>
      <c r="J29" s="49">
        <f>'tab 15'!J29/'tab 14'!J29</f>
        <v>3000</v>
      </c>
      <c r="K29" s="49">
        <f>'tab 15'!K29/'tab 14'!K29</f>
        <v>2700</v>
      </c>
      <c r="L29" s="91" t="s">
        <v>134</v>
      </c>
      <c r="M29" s="49">
        <f>'tab 15'!M29/'tab 14'!M29</f>
        <v>2962.4223602484471</v>
      </c>
      <c r="N29" s="49">
        <f>'tab 15'!N29/'tab 14'!N29</f>
        <v>2900</v>
      </c>
      <c r="O29" s="49">
        <f>'tab 15'!O29/'tab 14'!O29</f>
        <v>3200</v>
      </c>
      <c r="P29" s="49">
        <f>'tab 15'!P29/'tab 14'!P29</f>
        <v>3125.5639097744361</v>
      </c>
      <c r="Q29" s="49">
        <f>'tab 15'!Q29/'tab 14'!Q29</f>
        <v>3158.6509146341464</v>
      </c>
      <c r="R29" s="49"/>
    </row>
    <row r="30" spans="1:18" x14ac:dyDescent="0.2">
      <c r="A30" s="1">
        <v>2004</v>
      </c>
      <c r="B30" s="49">
        <f>'tab 15'!B30/'tab 14'!B30</f>
        <v>2800</v>
      </c>
      <c r="C30" s="49">
        <f>'tab 15'!C30/'tab 14'!C30</f>
        <v>2800</v>
      </c>
      <c r="D30" s="49">
        <f>'tab 15'!D30/'tab 14'!D30</f>
        <v>2980</v>
      </c>
      <c r="E30" s="49">
        <f>'tab 15'!E30/'tab 14'!E30</f>
        <v>3400</v>
      </c>
      <c r="F30" s="91" t="s">
        <v>134</v>
      </c>
      <c r="G30" s="91" t="s">
        <v>134</v>
      </c>
      <c r="H30" s="49">
        <f>'tab 15'!H30/'tab 14'!H30</f>
        <v>2933.3333333333335</v>
      </c>
      <c r="I30" s="49">
        <f>'tab 15'!I30/'tab 14'!I30</f>
        <v>3100</v>
      </c>
      <c r="J30" s="49">
        <f>'tab 15'!J30/'tab 14'!J30</f>
        <v>3420</v>
      </c>
      <c r="K30" s="49">
        <f>'tab 15'!K30/'tab 14'!K30</f>
        <v>3500</v>
      </c>
      <c r="L30" s="91" t="s">
        <v>134</v>
      </c>
      <c r="M30" s="49">
        <f>'tab 15'!M30/'tab 14'!M30</f>
        <v>3387.719298245614</v>
      </c>
      <c r="N30" s="49">
        <f>'tab 15'!N30/'tab 14'!N30</f>
        <v>3250</v>
      </c>
      <c r="O30" s="49">
        <f>'tab 15'!O30/'tab 14'!O30</f>
        <v>3500</v>
      </c>
      <c r="P30" s="49">
        <f>'tab 15'!P30/'tab 14'!P30</f>
        <v>3441.6058394160582</v>
      </c>
      <c r="Q30" s="49">
        <f>'tab 15'!Q30/'tab 14'!Q30</f>
        <v>3076.1836441893829</v>
      </c>
      <c r="R30" s="49"/>
    </row>
    <row r="31" spans="1:18" x14ac:dyDescent="0.2">
      <c r="A31" s="1">
        <v>2005</v>
      </c>
      <c r="B31" s="49">
        <f>'tab 15'!B31/'tab 14'!B31</f>
        <v>2750</v>
      </c>
      <c r="C31" s="49">
        <f>'tab 15'!C31/'tab 14'!C31</f>
        <v>2700</v>
      </c>
      <c r="D31" s="49">
        <f>'tab 15'!D31/'tab 14'!D31</f>
        <v>2840</v>
      </c>
      <c r="E31" s="49">
        <f>'tab 15'!E31/'tab 14'!E31</f>
        <v>2800</v>
      </c>
      <c r="F31" s="49">
        <f>'tab 15'!F31/'tab 14'!F31</f>
        <v>3200</v>
      </c>
      <c r="G31" s="91" t="s">
        <v>134</v>
      </c>
      <c r="H31" s="49">
        <f>'tab 15'!H31/'tab 14'!H31</f>
        <v>2807.7147623019182</v>
      </c>
      <c r="I31" s="49">
        <f>'tab 15'!I31/'tab 14'!I31</f>
        <v>3270</v>
      </c>
      <c r="J31" s="49">
        <f>'tab 15'!J31/'tab 14'!J31</f>
        <v>3750</v>
      </c>
      <c r="K31" s="49">
        <f>'tab 15'!K31/'tab 14'!K31</f>
        <v>3500</v>
      </c>
      <c r="L31" s="91" t="s">
        <v>134</v>
      </c>
      <c r="M31" s="49">
        <f>'tab 15'!M31/'tab 14'!M31</f>
        <v>3684.0064102564102</v>
      </c>
      <c r="N31" s="49">
        <f>'tab 15'!N31/'tab 14'!N31</f>
        <v>3000</v>
      </c>
      <c r="O31" s="49">
        <f>'tab 15'!O31/'tab 14'!O31</f>
        <v>3000</v>
      </c>
      <c r="P31" s="49">
        <f>'tab 15'!P31/'tab 14'!P31</f>
        <v>3000</v>
      </c>
      <c r="Q31" s="49">
        <f>'tab 15'!Q31/'tab 14'!Q31</f>
        <v>2989.4782074892573</v>
      </c>
      <c r="R31" s="49"/>
    </row>
    <row r="32" spans="1:18" x14ac:dyDescent="0.2">
      <c r="A32" s="1">
        <v>2006</v>
      </c>
      <c r="B32" s="49">
        <f>'tab 15'!B32/'tab 14'!B32</f>
        <v>2500</v>
      </c>
      <c r="C32" s="49">
        <f>'tab 15'!C32/'tab 14'!C32</f>
        <v>2500</v>
      </c>
      <c r="D32" s="49">
        <f>'tab 15'!D32/'tab 14'!D32</f>
        <v>2780</v>
      </c>
      <c r="E32" s="49">
        <f>'tab 15'!E32/'tab 14'!E32</f>
        <v>3000</v>
      </c>
      <c r="F32" s="49">
        <f>'tab 15'!F32/'tab 14'!F32</f>
        <v>2900</v>
      </c>
      <c r="G32" s="91" t="s">
        <v>134</v>
      </c>
      <c r="H32" s="49">
        <f>'tab 15'!H32/'tab 14'!H32</f>
        <v>2710.1075268817203</v>
      </c>
      <c r="I32" s="49">
        <f>'tab 15'!I32/'tab 14'!I32</f>
        <v>2850</v>
      </c>
      <c r="J32" s="49">
        <f>'tab 15'!J32/'tab 14'!J32</f>
        <v>3550</v>
      </c>
      <c r="K32" s="49">
        <f>'tab 15'!K32/'tab 14'!K32</f>
        <v>3600</v>
      </c>
      <c r="L32" s="91" t="s">
        <v>134</v>
      </c>
      <c r="M32" s="49">
        <f>'tab 15'!M32/'tab 14'!M32</f>
        <v>3467.31843575419</v>
      </c>
      <c r="N32" s="49">
        <f>'tab 15'!N32/'tab 14'!N32</f>
        <v>3200</v>
      </c>
      <c r="O32" s="49">
        <f>'tab 15'!O32/'tab 14'!O32</f>
        <v>3200</v>
      </c>
      <c r="P32" s="49">
        <f>'tab 15'!P32/'tab 14'!P32</f>
        <v>3200</v>
      </c>
      <c r="Q32" s="49">
        <f>'tab 15'!Q32/'tab 14'!Q32</f>
        <v>2863.0165289256197</v>
      </c>
      <c r="R32" s="49"/>
    </row>
    <row r="33" spans="1:18" x14ac:dyDescent="0.2">
      <c r="A33" s="1">
        <v>2007</v>
      </c>
      <c r="B33" s="49">
        <f>'tab 15'!B33/'tab 14'!B33</f>
        <v>2550</v>
      </c>
      <c r="C33" s="49">
        <f>'tab 15'!C33/'tab 14'!C33</f>
        <v>2700</v>
      </c>
      <c r="D33" s="49">
        <f>'tab 15'!D33/'tab 14'!D33</f>
        <v>3120</v>
      </c>
      <c r="E33" s="49">
        <f>'tab 15'!E33/'tab 14'!E33</f>
        <v>3100</v>
      </c>
      <c r="F33" s="49">
        <f>'tab 15'!F33/'tab 14'!F33</f>
        <v>3300</v>
      </c>
      <c r="G33" s="91" t="s">
        <v>134</v>
      </c>
      <c r="H33" s="49">
        <f>'tab 15'!H33/'tab 14'!H33</f>
        <v>2962.1264367816093</v>
      </c>
      <c r="I33" s="49">
        <f>'tab 15'!I33/'tab 14'!I33</f>
        <v>3400</v>
      </c>
      <c r="J33" s="49">
        <f>'tab 15'!J33/'tab 14'!J33</f>
        <v>3700</v>
      </c>
      <c r="K33" s="49">
        <f>'tab 15'!K33/'tab 14'!K33</f>
        <v>3200</v>
      </c>
      <c r="L33" s="91" t="s">
        <v>134</v>
      </c>
      <c r="M33" s="49">
        <f>'tab 15'!M33/'tab 14'!M33</f>
        <v>3652.8037383177571</v>
      </c>
      <c r="N33" s="49">
        <f>'tab 15'!N33/'tab 14'!N33</f>
        <v>2500</v>
      </c>
      <c r="O33" s="49">
        <f>'tab 15'!O33/'tab 14'!O33</f>
        <v>2900</v>
      </c>
      <c r="P33" s="49">
        <f>'tab 15'!P33/'tab 14'!P33</f>
        <v>2824.3243243243242</v>
      </c>
      <c r="Q33" s="49">
        <f>'tab 15'!Q33/'tab 14'!Q33</f>
        <v>3073.0125523012553</v>
      </c>
      <c r="R33" s="49"/>
    </row>
    <row r="34" spans="1:18" x14ac:dyDescent="0.2">
      <c r="A34" s="1">
        <v>2008</v>
      </c>
      <c r="B34" s="49">
        <f>'tab 15'!B34/'tab 14'!B34</f>
        <v>3500</v>
      </c>
      <c r="C34" s="49">
        <f>'tab 15'!C34/'tab 14'!C34</f>
        <v>3200</v>
      </c>
      <c r="D34" s="49">
        <f>'tab 15'!D34/'tab 14'!D34</f>
        <v>3400</v>
      </c>
      <c r="E34" s="49">
        <f>'tab 15'!E34/'tab 14'!E34</f>
        <v>3900</v>
      </c>
      <c r="F34" s="49">
        <f>'tab 15'!F34/'tab 14'!F34</f>
        <v>3900</v>
      </c>
      <c r="G34" s="91" t="s">
        <v>134</v>
      </c>
      <c r="H34" s="49">
        <f>'tab 15'!H34/'tab 14'!H34</f>
        <v>3432.3396567299005</v>
      </c>
      <c r="I34" s="49">
        <f>'tab 15'!I34/'tab 14'!I34</f>
        <v>3500</v>
      </c>
      <c r="J34" s="49">
        <f>'tab 15'!J34/'tab 14'!J34</f>
        <v>3300</v>
      </c>
      <c r="K34" s="49">
        <f>'tab 15'!K34/'tab 14'!K34</f>
        <v>3200</v>
      </c>
      <c r="L34" s="91" t="s">
        <v>134</v>
      </c>
      <c r="M34" s="49">
        <f>'tab 15'!M34/'tab 14'!M34</f>
        <v>3310.0358422939066</v>
      </c>
      <c r="N34" s="49">
        <f>'tab 15'!N34/'tab 14'!N34</f>
        <v>3350</v>
      </c>
      <c r="O34" s="49">
        <f>'tab 15'!O34/'tab 14'!O34</f>
        <v>3700</v>
      </c>
      <c r="P34" s="49">
        <f>'tab 15'!P34/'tab 14'!P34</f>
        <v>3630.5785123966944</v>
      </c>
      <c r="Q34" s="49">
        <f>'tab 15'!Q34/'tab 14'!Q34</f>
        <v>3425.6138022561381</v>
      </c>
      <c r="R34" s="49"/>
    </row>
    <row r="35" spans="1:18" x14ac:dyDescent="0.2">
      <c r="A35" s="1">
        <v>2009</v>
      </c>
      <c r="B35" s="49">
        <f>'tab 15'!B35/'tab 14'!B35</f>
        <v>3300</v>
      </c>
      <c r="C35" s="49">
        <f>'tab 15'!C35/'tab 14'!C35</f>
        <v>3200</v>
      </c>
      <c r="D35" s="49">
        <f>'tab 15'!D35/'tab 14'!D35</f>
        <v>3560</v>
      </c>
      <c r="E35" s="49">
        <f>'tab 15'!E35/'tab 14'!E35</f>
        <v>3100</v>
      </c>
      <c r="F35" s="49">
        <f>'tab 15'!F35/'tab 14'!F35</f>
        <v>3000</v>
      </c>
      <c r="G35" s="91" t="s">
        <v>134</v>
      </c>
      <c r="H35" s="49">
        <f>'tab 15'!H35/'tab 14'!H35</f>
        <v>3428.0871670702181</v>
      </c>
      <c r="I35" s="49">
        <f>'tab 15'!I35/'tab 14'!I35</f>
        <v>3300</v>
      </c>
      <c r="J35" s="49">
        <f>'tab 15'!J35/'tab 14'!J35</f>
        <v>3270</v>
      </c>
      <c r="K35" s="49">
        <f>'tab 15'!K35/'tab 14'!K35</f>
        <v>3100</v>
      </c>
      <c r="L35" s="91" t="s">
        <v>134</v>
      </c>
      <c r="M35" s="49">
        <f>'tab 15'!M35/'tab 14'!M35</f>
        <v>3265.4285714285716</v>
      </c>
      <c r="N35" s="49">
        <f>'tab 15'!N35/'tab 14'!N35</f>
        <v>3700</v>
      </c>
      <c r="O35" s="49">
        <f>'tab 15'!O35/'tab 14'!O35</f>
        <v>3700</v>
      </c>
      <c r="P35" s="49">
        <f>'tab 15'!P35/'tab 14'!P35</f>
        <v>3700</v>
      </c>
      <c r="Q35" s="49">
        <f>'tab 15'!Q35/'tab 14'!Q35</f>
        <v>3421.3623725671919</v>
      </c>
      <c r="R35" s="49"/>
    </row>
    <row r="36" spans="1:18" x14ac:dyDescent="0.2">
      <c r="A36" s="1">
        <v>2010</v>
      </c>
      <c r="B36" s="49">
        <f>'tab 15'!B36/'tab 14'!B36</f>
        <v>2600</v>
      </c>
      <c r="C36" s="49">
        <f>'tab 15'!C36/'tab 14'!C36</f>
        <v>3500</v>
      </c>
      <c r="D36" s="49">
        <f>'tab 15'!D36/'tab 14'!D36</f>
        <v>3530</v>
      </c>
      <c r="E36" s="49">
        <f>'tab 15'!E36/'tab 14'!E36</f>
        <v>3500</v>
      </c>
      <c r="F36" s="49">
        <f>'tab 15'!F36/'tab 14'!F36</f>
        <v>3500</v>
      </c>
      <c r="G36" s="91" t="s">
        <v>134</v>
      </c>
      <c r="H36" s="49">
        <f>'tab 15'!H36/'tab 14'!H36</f>
        <v>3343.4169278996865</v>
      </c>
      <c r="I36" s="49">
        <f>'tab 15'!I36/'tab 14'!I36</f>
        <v>3350</v>
      </c>
      <c r="J36" s="49">
        <f>'tab 15'!J36/'tab 14'!J36</f>
        <v>3600</v>
      </c>
      <c r="K36" s="49">
        <f>'tab 15'!K36/'tab 14'!K36</f>
        <v>3400</v>
      </c>
      <c r="L36" s="91" t="s">
        <v>134</v>
      </c>
      <c r="M36" s="49">
        <f>'tab 15'!M36/'tab 14'!M36</f>
        <v>3562.6288659793813</v>
      </c>
      <c r="N36" s="49">
        <f>'tab 15'!N36/'tab 14'!N36</f>
        <v>1880</v>
      </c>
      <c r="O36" s="49">
        <f>'tab 15'!O36/'tab 14'!O36</f>
        <v>2700</v>
      </c>
      <c r="P36" s="49">
        <f>'tab 15'!P36/'tab 14'!P36</f>
        <v>2558.0769230769229</v>
      </c>
      <c r="Q36" s="49">
        <f>'tab 15'!Q36/'tab 14'!Q36</f>
        <v>3312.2231075697209</v>
      </c>
      <c r="R36" s="49"/>
    </row>
    <row r="37" spans="1:18" x14ac:dyDescent="0.2">
      <c r="A37" s="1">
        <v>2011</v>
      </c>
      <c r="B37" s="49">
        <f>'tab 15'!B37/'tab 14'!B37</f>
        <v>2950</v>
      </c>
      <c r="C37" s="49">
        <f>'tab 15'!C37/'tab 14'!C37</f>
        <v>3500</v>
      </c>
      <c r="D37" s="49">
        <f>'tab 15'!D37/'tab 14'!D37</f>
        <v>3625</v>
      </c>
      <c r="E37" s="49">
        <f>'tab 15'!E37/'tab 14'!E37</f>
        <v>3300</v>
      </c>
      <c r="F37" s="49">
        <f>'tab 15'!F37/'tab 14'!F37</f>
        <v>4000</v>
      </c>
      <c r="G37" s="91" t="s">
        <v>134</v>
      </c>
      <c r="H37" s="49">
        <f>'tab 15'!H37/'tab 14'!H37</f>
        <v>3451.2152777777778</v>
      </c>
      <c r="I37" s="49">
        <f>'tab 15'!I37/'tab 14'!I37</f>
        <v>2600</v>
      </c>
      <c r="J37" s="49">
        <f>'tab 15'!J37/'tab 14'!J37</f>
        <v>2680</v>
      </c>
      <c r="K37" s="49">
        <f>'tab 15'!K37/'tab 14'!K37</f>
        <v>3000</v>
      </c>
      <c r="L37" s="91" t="s">
        <v>134</v>
      </c>
      <c r="M37" s="49">
        <f>'tab 15'!M37/'tab 14'!M37</f>
        <v>2683.5820895522388</v>
      </c>
      <c r="N37" s="49">
        <f>'tab 15'!N37/'tab 14'!N37</f>
        <v>4100</v>
      </c>
      <c r="O37" s="49">
        <f>'tab 15'!O37/'tab 14'!O37</f>
        <v>3600</v>
      </c>
      <c r="P37" s="49">
        <f>'tab 15'!P37/'tab 14'!P37</f>
        <v>3678.125</v>
      </c>
      <c r="Q37" s="49">
        <f>'tab 15'!Q37/'tab 14'!Q37</f>
        <v>3385.7023875624654</v>
      </c>
      <c r="R37" s="49"/>
    </row>
    <row r="38" spans="1:18" x14ac:dyDescent="0.2">
      <c r="A38" s="1">
        <v>2012</v>
      </c>
      <c r="B38" s="49">
        <f>'tab 15'!B38/'tab 14'!B38</f>
        <v>4000</v>
      </c>
      <c r="C38" s="49">
        <f>'tab 15'!C38/'tab 14'!C38</f>
        <v>3900</v>
      </c>
      <c r="D38" s="49">
        <f>'tab 15'!D38/'tab 14'!D38</f>
        <v>4580</v>
      </c>
      <c r="E38" s="49">
        <f>'tab 15'!E38/'tab 14'!E38</f>
        <v>3900</v>
      </c>
      <c r="F38" s="49">
        <f>'tab 15'!F38/'tab 14'!F38</f>
        <v>4400</v>
      </c>
      <c r="G38" s="91" t="s">
        <v>134</v>
      </c>
      <c r="H38" s="49">
        <f>'tab 15'!H38/'tab 14'!H38</f>
        <v>4317.5384615384619</v>
      </c>
      <c r="I38" s="49">
        <f>'tab 15'!I38/'tab 14'!I38</f>
        <v>3650</v>
      </c>
      <c r="J38" s="49">
        <f>'tab 15'!J38/'tab 14'!J38</f>
        <v>3600</v>
      </c>
      <c r="K38" s="49">
        <f>'tab 15'!K38/'tab 14'!K38</f>
        <v>2600</v>
      </c>
      <c r="L38" s="91" t="s">
        <v>134</v>
      </c>
      <c r="M38" s="49">
        <f>'tab 15'!M38/'tab 14'!M38</f>
        <v>3550</v>
      </c>
      <c r="N38" s="49">
        <f>'tab 15'!N38/'tab 14'!N38</f>
        <v>4100</v>
      </c>
      <c r="O38" s="49">
        <f>'tab 15'!O38/'tab 14'!O38</f>
        <v>4030</v>
      </c>
      <c r="P38" s="49">
        <f>'tab 15'!P38/'tab 14'!P38</f>
        <v>4041.1111111111113</v>
      </c>
      <c r="Q38" s="49">
        <f>'tab 15'!Q38/'tab 14'!Q38</f>
        <v>4210.6483790523689</v>
      </c>
      <c r="R38" s="49"/>
    </row>
    <row r="39" spans="1:18" x14ac:dyDescent="0.2">
      <c r="A39" s="1">
        <v>2013</v>
      </c>
      <c r="B39" s="49">
        <f>'tab 15'!B39/'tab 14'!B39</f>
        <v>3550</v>
      </c>
      <c r="C39" s="49">
        <f>'tab 15'!C39/'tab 14'!C39</f>
        <v>3950</v>
      </c>
      <c r="D39" s="49">
        <f>'tab 15'!D39/'tab 14'!D39</f>
        <v>4430</v>
      </c>
      <c r="E39" s="49">
        <f>'tab 15'!E39/'tab 14'!E39</f>
        <v>3500</v>
      </c>
      <c r="F39" s="49">
        <f>'tab 15'!F39/'tab 14'!F39</f>
        <v>3700</v>
      </c>
      <c r="G39" s="91" t="s">
        <v>134</v>
      </c>
      <c r="H39" s="49">
        <f>'tab 15'!H39/'tab 14'!H39</f>
        <v>4081.4267990074441</v>
      </c>
      <c r="I39" s="49">
        <f>'tab 15'!I39/'tab 14'!I39</f>
        <v>3700</v>
      </c>
      <c r="J39" s="49">
        <f>'tab 15'!J39/'tab 14'!J39</f>
        <v>3620</v>
      </c>
      <c r="K39" s="49">
        <f>'tab 15'!K39/'tab 14'!K39</f>
        <v>3100</v>
      </c>
      <c r="L39" s="91" t="s">
        <v>134</v>
      </c>
      <c r="M39" s="49">
        <f>'tab 15'!M39/'tab 14'!M39</f>
        <v>3603.1428571428573</v>
      </c>
      <c r="N39" s="49">
        <f>'tab 15'!N39/'tab 14'!N39</f>
        <v>3950</v>
      </c>
      <c r="O39" s="49">
        <f>'tab 15'!O39/'tab 14'!O39</f>
        <v>3900</v>
      </c>
      <c r="P39" s="49">
        <f>'tab 15'!P39/'tab 14'!P39</f>
        <v>3908.2474226804125</v>
      </c>
      <c r="Q39" s="49">
        <f>'tab 15'!Q39/'tab 14'!Q39</f>
        <v>4001.1217641418984</v>
      </c>
      <c r="R39" s="49"/>
    </row>
    <row r="40" spans="1:18" x14ac:dyDescent="0.2">
      <c r="A40" s="1">
        <v>2014</v>
      </c>
      <c r="B40" s="49">
        <f>'tab 15'!B40/'tab 14'!B40</f>
        <v>3150</v>
      </c>
      <c r="C40" s="49">
        <f>'tab 15'!C40/'tab 14'!C40</f>
        <v>4000</v>
      </c>
      <c r="D40" s="49">
        <f>'tab 15'!D40/'tab 14'!D40</f>
        <v>4135</v>
      </c>
      <c r="E40" s="49">
        <f>'tab 15'!E40/'tab 14'!E40</f>
        <v>3800</v>
      </c>
      <c r="F40" s="49">
        <f>'tab 15'!F40/'tab 14'!F40</f>
        <v>4000</v>
      </c>
      <c r="G40" s="91" t="s">
        <v>134</v>
      </c>
      <c r="H40" s="49">
        <f>'tab 15'!H40/'tab 14'!H40</f>
        <v>3916.5402621722847</v>
      </c>
      <c r="I40" s="49">
        <f>'tab 15'!I40/'tab 14'!I40</f>
        <v>4000</v>
      </c>
      <c r="J40" s="49">
        <f>'tab 15'!J40/'tab 14'!J40</f>
        <v>3620</v>
      </c>
      <c r="K40" s="49">
        <f>'tab 15'!K40/'tab 14'!K40</f>
        <v>3500</v>
      </c>
      <c r="L40" s="91" t="s">
        <v>134</v>
      </c>
      <c r="M40" s="49">
        <f>'tab 15'!M40/'tab 14'!M40</f>
        <v>3645.5438596491226</v>
      </c>
      <c r="N40" s="49">
        <f>'tab 15'!N40/'tab 14'!N40</f>
        <v>4450</v>
      </c>
      <c r="O40" s="49">
        <f>'tab 15'!O40/'tab 14'!O40</f>
        <v>4320</v>
      </c>
      <c r="P40" s="49">
        <f>'tab 15'!P40/'tab 14'!P40</f>
        <v>4342.0535714285716</v>
      </c>
      <c r="Q40" s="49">
        <f>'tab 15'!Q40/'tab 14'!Q40</f>
        <v>3923.3761814744803</v>
      </c>
      <c r="R40" s="49"/>
    </row>
    <row r="41" spans="1:18" x14ac:dyDescent="0.2">
      <c r="A41" s="1">
        <v>2015</v>
      </c>
      <c r="B41" s="49">
        <f>'tab 15'!B41/'tab 14'!B41</f>
        <v>3250</v>
      </c>
      <c r="C41" s="49">
        <f>'tab 15'!C41/'tab 14'!C41</f>
        <v>3600</v>
      </c>
      <c r="D41" s="49">
        <f>'tab 15'!D41/'tab 14'!D41</f>
        <v>4330</v>
      </c>
      <c r="E41" s="49">
        <f>'tab 15'!E41/'tab 14'!E41</f>
        <v>3200</v>
      </c>
      <c r="F41" s="49">
        <f>'tab 15'!F41/'tab 14'!F41</f>
        <v>3500</v>
      </c>
      <c r="G41" s="91" t="s">
        <v>134</v>
      </c>
      <c r="H41" s="49">
        <f>'tab 15'!H41/'tab 14'!H41</f>
        <v>3961.8416927899689</v>
      </c>
      <c r="I41" s="49">
        <f>'tab 15'!I41/'tab 14'!I41</f>
        <v>3400</v>
      </c>
      <c r="J41" s="49">
        <f>'tab 15'!J41/'tab 14'!J41</f>
        <v>3200</v>
      </c>
      <c r="K41" s="49">
        <f>'tab 15'!K41/'tab 14'!K41</f>
        <v>3130</v>
      </c>
      <c r="L41" s="91" t="s">
        <v>134</v>
      </c>
      <c r="M41" s="49">
        <f>'tab 15'!M41/'tab 14'!M41</f>
        <v>3208.1442146450531</v>
      </c>
      <c r="N41" s="49">
        <f>'tab 15'!N41/'tab 14'!N41</f>
        <v>3650</v>
      </c>
      <c r="O41" s="49">
        <f>'tab 15'!O41/'tab 14'!O41</f>
        <v>3480</v>
      </c>
      <c r="P41" s="49">
        <f>'tab 15'!P41/'tab 14'!P41</f>
        <v>3510.4716981132074</v>
      </c>
      <c r="Q41" s="49">
        <f>'tab 15'!Q41/'tab 14'!Q41</f>
        <v>3844.8055608943555</v>
      </c>
      <c r="R41" s="49"/>
    </row>
    <row r="42" spans="1:18" x14ac:dyDescent="0.2">
      <c r="A42" s="1">
        <v>2016</v>
      </c>
      <c r="B42" s="49">
        <f>'tab 15'!B42/'tab 14'!B42</f>
        <v>3600</v>
      </c>
      <c r="C42" s="49">
        <f>'tab 15'!C42/'tab 14'!C42</f>
        <v>3800</v>
      </c>
      <c r="D42" s="49">
        <f>'tab 15'!D42/'tab 14'!D42</f>
        <v>3900</v>
      </c>
      <c r="E42" s="49">
        <f>'tab 15'!E42/'tab 14'!E42</f>
        <v>3200</v>
      </c>
      <c r="F42" s="49">
        <f>'tab 15'!F42/'tab 14'!F42</f>
        <v>4000</v>
      </c>
      <c r="G42" s="91" t="s">
        <v>134</v>
      </c>
      <c r="H42" s="49">
        <f>'tab 15'!H42/'tab 14'!H42</f>
        <v>3783.0479452054797</v>
      </c>
      <c r="I42" s="49">
        <f>'tab 15'!I42/'tab 14'!I42</f>
        <v>3700</v>
      </c>
      <c r="J42" s="49">
        <f>'tab 15'!J42/'tab 14'!J42</f>
        <v>2730</v>
      </c>
      <c r="K42" s="49">
        <f>'tab 15'!K42/'tab 14'!K42</f>
        <v>2800</v>
      </c>
      <c r="L42" s="49">
        <f>'tab 15'!L42/'tab 14'!L42</f>
        <v>4800</v>
      </c>
      <c r="M42" s="49">
        <f>'tab 15'!M42/'tab 14'!M42</f>
        <v>2971.1693548387098</v>
      </c>
      <c r="N42" s="49">
        <f>'tab 15'!N42/'tab 14'!N42</f>
        <v>3650</v>
      </c>
      <c r="O42" s="49">
        <f>'tab 15'!O42/'tab 14'!O42</f>
        <v>3530</v>
      </c>
      <c r="P42" s="49">
        <f>'tab 15'!P42/'tab 14'!P42</f>
        <v>3551</v>
      </c>
      <c r="Q42" s="49">
        <f>'tab 15'!Q42/'tab 14'!Q42</f>
        <v>3633.8346354166665</v>
      </c>
      <c r="R42" s="49"/>
    </row>
    <row r="43" spans="1:18" x14ac:dyDescent="0.2">
      <c r="A43" s="1">
        <v>2017</v>
      </c>
      <c r="B43" s="49">
        <v>3650</v>
      </c>
      <c r="C43" s="49">
        <v>3450</v>
      </c>
      <c r="D43" s="49">
        <v>4330</v>
      </c>
      <c r="E43" s="49">
        <v>4000</v>
      </c>
      <c r="F43" s="49">
        <v>4000</v>
      </c>
      <c r="G43" s="91" t="s">
        <v>134</v>
      </c>
      <c r="H43" s="49">
        <v>4075.48</v>
      </c>
      <c r="I43" s="49">
        <v>3780</v>
      </c>
      <c r="J43" s="49">
        <v>3320</v>
      </c>
      <c r="K43" s="49">
        <v>3500</v>
      </c>
      <c r="L43" s="49">
        <v>5300</v>
      </c>
      <c r="M43" s="49">
        <v>3575.78</v>
      </c>
      <c r="N43" s="49">
        <v>4440</v>
      </c>
      <c r="O43" s="49">
        <v>4100</v>
      </c>
      <c r="P43" s="49">
        <v>4163.75</v>
      </c>
      <c r="Q43" s="49">
        <v>4007.33</v>
      </c>
      <c r="R43" s="49"/>
    </row>
    <row r="44" spans="1:18" x14ac:dyDescent="0.2">
      <c r="A44" s="1">
        <v>2018</v>
      </c>
      <c r="B44" s="49">
        <v>3520</v>
      </c>
      <c r="C44" s="49">
        <v>3960</v>
      </c>
      <c r="D44" s="49">
        <v>4390</v>
      </c>
      <c r="E44" s="49">
        <v>3400</v>
      </c>
      <c r="F44" s="49">
        <v>4000</v>
      </c>
      <c r="G44" s="91" t="s">
        <v>134</v>
      </c>
      <c r="H44" s="49">
        <v>4117.18</v>
      </c>
      <c r="I44" s="49">
        <v>3290</v>
      </c>
      <c r="J44" s="49">
        <v>3270</v>
      </c>
      <c r="K44" s="49">
        <v>2850</v>
      </c>
      <c r="L44" s="49">
        <v>4900</v>
      </c>
      <c r="M44" s="49">
        <v>3461.86</v>
      </c>
      <c r="N44" s="49">
        <v>4200</v>
      </c>
      <c r="O44" s="49">
        <v>3870</v>
      </c>
      <c r="P44" s="49">
        <v>3934.92</v>
      </c>
      <c r="Q44" s="49">
        <v>4012.55</v>
      </c>
      <c r="R44" s="49"/>
    </row>
    <row r="45" spans="1:18" x14ac:dyDescent="0.2">
      <c r="A45" s="1">
        <v>2019</v>
      </c>
      <c r="B45" s="49">
        <v>3350</v>
      </c>
      <c r="C45" s="49">
        <v>3800</v>
      </c>
      <c r="D45" s="49">
        <v>4170</v>
      </c>
      <c r="E45" s="49">
        <v>3800</v>
      </c>
      <c r="F45" s="49">
        <v>4000</v>
      </c>
      <c r="G45" s="91" t="s">
        <v>134</v>
      </c>
      <c r="H45" s="49">
        <v>3969.01</v>
      </c>
      <c r="I45" s="49">
        <v>4000</v>
      </c>
      <c r="J45" s="49">
        <v>3100</v>
      </c>
      <c r="K45" s="49">
        <v>3350</v>
      </c>
      <c r="L45" s="49">
        <v>5200</v>
      </c>
      <c r="M45" s="49">
        <v>3498.27</v>
      </c>
      <c r="N45" s="49">
        <v>4650</v>
      </c>
      <c r="O45" s="49">
        <v>4400</v>
      </c>
      <c r="P45" s="49">
        <v>4447.62</v>
      </c>
      <c r="Q45" s="49">
        <v>3941.75</v>
      </c>
    </row>
    <row r="46" spans="1:18" x14ac:dyDescent="0.2">
      <c r="A46" s="1">
        <v>2020</v>
      </c>
      <c r="B46" s="49">
        <v>3400</v>
      </c>
      <c r="C46" s="49">
        <v>3440</v>
      </c>
      <c r="D46" s="49">
        <v>4120</v>
      </c>
      <c r="E46" s="49">
        <v>3700</v>
      </c>
      <c r="F46" s="49">
        <v>4400</v>
      </c>
      <c r="G46" s="91" t="s">
        <v>134</v>
      </c>
      <c r="H46" s="49">
        <v>3904.11</v>
      </c>
      <c r="I46" s="49">
        <v>4220</v>
      </c>
      <c r="J46" s="49">
        <v>2910</v>
      </c>
      <c r="K46" s="49">
        <v>2900</v>
      </c>
      <c r="L46" s="49">
        <v>4800</v>
      </c>
      <c r="M46" s="49">
        <v>3310.12</v>
      </c>
      <c r="N46" s="49">
        <v>4150</v>
      </c>
      <c r="O46" s="49">
        <v>3900</v>
      </c>
      <c r="P46" s="49">
        <v>3951.14</v>
      </c>
      <c r="Q46" s="49">
        <v>3824.94</v>
      </c>
    </row>
    <row r="47" spans="1:18" x14ac:dyDescent="0.2">
      <c r="A47" s="1">
        <v>2021</v>
      </c>
      <c r="B47" s="49">
        <v>3350</v>
      </c>
      <c r="C47" s="49">
        <v>3680</v>
      </c>
      <c r="D47" s="49">
        <v>4450</v>
      </c>
      <c r="E47" s="49">
        <v>4200</v>
      </c>
      <c r="F47" s="49">
        <v>4100</v>
      </c>
      <c r="G47" s="91" t="s">
        <v>134</v>
      </c>
      <c r="H47" s="49">
        <v>4156.0600000000004</v>
      </c>
      <c r="I47" s="49">
        <v>4450</v>
      </c>
      <c r="J47" s="49">
        <v>3620</v>
      </c>
      <c r="K47" s="49">
        <v>2340</v>
      </c>
      <c r="L47" s="49">
        <v>5000</v>
      </c>
      <c r="M47" s="49">
        <v>3832.14</v>
      </c>
      <c r="N47" s="49">
        <v>4700</v>
      </c>
      <c r="O47" s="49">
        <v>4350</v>
      </c>
      <c r="P47" s="49">
        <v>4422.92</v>
      </c>
      <c r="Q47" s="49">
        <v>4134.71</v>
      </c>
    </row>
    <row r="48" spans="1:18" x14ac:dyDescent="0.2">
      <c r="A48" s="1">
        <v>2022</v>
      </c>
      <c r="B48" s="49">
        <v>3400</v>
      </c>
      <c r="C48" s="49">
        <v>3990</v>
      </c>
      <c r="D48" s="49">
        <v>4210</v>
      </c>
      <c r="E48" s="49">
        <v>4150</v>
      </c>
      <c r="F48" s="49">
        <v>4500</v>
      </c>
      <c r="G48" s="91" t="s">
        <v>134</v>
      </c>
      <c r="H48" s="49">
        <v>4056.84</v>
      </c>
      <c r="I48" s="49">
        <v>3720</v>
      </c>
      <c r="J48" s="49">
        <v>2870</v>
      </c>
      <c r="K48" s="49">
        <v>2880</v>
      </c>
      <c r="L48" s="49">
        <v>5200</v>
      </c>
      <c r="M48" s="49">
        <v>3398.88</v>
      </c>
      <c r="N48" s="49">
        <v>4490</v>
      </c>
      <c r="O48" s="49">
        <v>4370</v>
      </c>
      <c r="P48" s="49">
        <v>4393.33</v>
      </c>
      <c r="Q48" s="49">
        <v>4011.71</v>
      </c>
    </row>
    <row r="49" spans="1:33" x14ac:dyDescent="0.2">
      <c r="A49" s="1">
        <v>2023</v>
      </c>
      <c r="B49" s="49">
        <v>2760</v>
      </c>
      <c r="C49" s="49">
        <v>3440</v>
      </c>
      <c r="D49" s="49">
        <v>4080</v>
      </c>
      <c r="E49" s="49">
        <v>4050</v>
      </c>
      <c r="F49" s="49">
        <v>3600</v>
      </c>
      <c r="G49" s="91" t="s">
        <v>134</v>
      </c>
      <c r="H49" s="49">
        <v>3798.36</v>
      </c>
      <c r="I49" s="49">
        <v>3880</v>
      </c>
      <c r="J49" s="49">
        <v>2780</v>
      </c>
      <c r="K49" s="49">
        <v>2000</v>
      </c>
      <c r="L49" s="49">
        <v>5800</v>
      </c>
      <c r="M49" s="49">
        <v>3282.96</v>
      </c>
      <c r="N49" s="49">
        <v>4800</v>
      </c>
      <c r="O49" s="49">
        <v>4200</v>
      </c>
      <c r="P49" s="49">
        <v>4314.47</v>
      </c>
      <c r="Q49" s="49">
        <v>3774.93</v>
      </c>
    </row>
    <row r="50" spans="1:33" x14ac:dyDescent="0.2">
      <c r="A50" s="1">
        <v>2024</v>
      </c>
      <c r="B50" s="49">
        <v>3000</v>
      </c>
      <c r="C50" s="49">
        <v>3500</v>
      </c>
      <c r="D50" s="49">
        <v>3800</v>
      </c>
      <c r="E50" s="49">
        <v>3800</v>
      </c>
      <c r="F50" s="49">
        <v>3700</v>
      </c>
      <c r="G50" s="49">
        <f>'tab 15'!G50/'tab 14'!G50</f>
        <v>5440</v>
      </c>
      <c r="H50" s="49">
        <v>3645.44</v>
      </c>
      <c r="I50" s="49">
        <v>4200</v>
      </c>
      <c r="J50" s="49">
        <v>2600</v>
      </c>
      <c r="K50" s="91" t="s">
        <v>134</v>
      </c>
      <c r="L50" s="49">
        <v>5500</v>
      </c>
      <c r="M50" s="49">
        <v>3154.61</v>
      </c>
      <c r="N50" s="49">
        <v>4950</v>
      </c>
      <c r="O50" s="49">
        <v>4400</v>
      </c>
      <c r="P50" s="49">
        <v>4503.7700000000004</v>
      </c>
      <c r="Q50" s="49">
        <v>3667.82</v>
      </c>
    </row>
    <row r="51" spans="1:33" x14ac:dyDescent="0.2">
      <c r="A51" s="79" t="s">
        <v>171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1"/>
      <c r="R51" s="55"/>
    </row>
    <row r="52" spans="1:33" x14ac:dyDescent="0.2">
      <c r="A52" s="1" t="s">
        <v>189</v>
      </c>
    </row>
    <row r="53" spans="1:33" x14ac:dyDescent="0.2">
      <c r="A53" s="1" t="s">
        <v>190</v>
      </c>
    </row>
    <row r="54" spans="1:33" x14ac:dyDescent="0.2">
      <c r="A54" t="s">
        <v>188</v>
      </c>
      <c r="O54" s="32"/>
      <c r="P54" s="32"/>
    </row>
    <row r="55" spans="1:33" x14ac:dyDescent="0.2">
      <c r="Q55" s="32" t="s">
        <v>191</v>
      </c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x14ac:dyDescent="0.2"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x14ac:dyDescent="0.2"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x14ac:dyDescent="0.2"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x14ac:dyDescent="0.2"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x14ac:dyDescent="0.2"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x14ac:dyDescent="0.2"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x14ac:dyDescent="0.2"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x14ac:dyDescent="0.2"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x14ac:dyDescent="0.2"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</sheetData>
  <pageMargins left="0.75" right="0.75" top="1" bottom="1" header="0.5" footer="0.5"/>
  <pageSetup scale="77" firstPageNumber="16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7B1ED-5D3A-4952-84FC-23ECBD02EB28}">
  <ds:schemaRefs>
    <ds:schemaRef ds:uri="http://schemas.openxmlformats.org/package/2006/metadata/core-properties"/>
    <ds:schemaRef ds:uri="c49de858-f9fd-4eb6-bcba-50396646711f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7818c5c2-d41f-4dce-801c-4e3595afcb3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66503-2DB8-4D05-9ECE-E506AC221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Contents</vt:lpstr>
      <vt:lpstr>tab 10</vt:lpstr>
      <vt:lpstr>tab 11</vt:lpstr>
      <vt:lpstr>tab 12</vt:lpstr>
      <vt:lpstr>tab 13</vt:lpstr>
      <vt:lpstr>tab 14</vt:lpstr>
      <vt:lpstr>tab 15</vt:lpstr>
      <vt:lpstr>tab 16</vt:lpstr>
      <vt:lpstr>'tab 10'!Print_Area</vt:lpstr>
      <vt:lpstr>'tab 11'!Print_Area</vt:lpstr>
      <vt:lpstr>'tab 12'!Print_Area</vt:lpstr>
      <vt:lpstr>'tab 13'!Print_Area</vt:lpstr>
      <vt:lpstr>'tab 14'!Print_Area</vt:lpstr>
      <vt:lpstr>'tab 15'!Print_Area</vt:lpstr>
      <vt:lpstr>'tab 16'!Print_Area</vt:lpstr>
      <vt:lpstr>'tab 10'!Print_Titles</vt:lpstr>
      <vt:lpstr>'tab 11'!Print_Titles</vt:lpstr>
      <vt:lpstr>'tab 12'!Print_Titles</vt:lpstr>
      <vt:lpstr>'tab 13'!Print_Titles</vt:lpstr>
      <vt:lpstr>'tab 14'!Print_Titles</vt:lpstr>
      <vt:lpstr>'tab 15'!Print_Titles</vt:lpstr>
      <vt:lpstr>'tab 16'!Print_Titles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Peanuts: U.S. acreage planted, harvested (by state and region), yield (by state and region), production (by state and region), and value, U.S., 1980-2024</dc:title>
  <dc:subject>Agricultural economics</dc:subject>
  <dc:creator>Maria Bukowski; Bryn Swearingen</dc:creator>
  <cp:keywords>oil crops, peanuts, peanuts crush</cp:keywords>
  <dc:description/>
  <cp:lastModifiedBy>Bukowski, Maria - REE-ERS</cp:lastModifiedBy>
  <cp:revision/>
  <dcterms:created xsi:type="dcterms:W3CDTF">2020-03-23T18:32:41Z</dcterms:created>
  <dcterms:modified xsi:type="dcterms:W3CDTF">2025-03-19T15:59:22Z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